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460" activeTab="0"/>
  </bookViews>
  <sheets>
    <sheet name="Table AQ 9-2" sheetId="1" r:id="rId1"/>
  </sheets>
  <definedNames>
    <definedName name="_xlnm.Print_Area" localSheetId="0">'Table AQ 9-2'!$A$1:$L$132</definedName>
  </definedNames>
  <calcPr fullCalcOnLoad="1"/>
</workbook>
</file>

<file path=xl/sharedStrings.xml><?xml version="1.0" encoding="utf-8"?>
<sst xmlns="http://schemas.openxmlformats.org/spreadsheetml/2006/main" count="242" uniqueCount="76">
  <si>
    <t>Stream</t>
  </si>
  <si>
    <t>Instream Unit No.</t>
  </si>
  <si>
    <t>River Mile</t>
  </si>
  <si>
    <t>Duncan Creek</t>
  </si>
  <si>
    <t>Long Canyon Creek</t>
  </si>
  <si>
    <t>Pool Number</t>
  </si>
  <si>
    <t>trace</t>
  </si>
  <si>
    <t>&lt;0.1</t>
  </si>
  <si>
    <t>bedrock plunge pool</t>
  </si>
  <si>
    <t>bedrock, cobble with med gravel</t>
  </si>
  <si>
    <t>bedrock and cobble</t>
  </si>
  <si>
    <t>cobble with boulders</t>
  </si>
  <si>
    <t>cobble and large gravel</t>
  </si>
  <si>
    <t>boulder, cobble with gravel</t>
  </si>
  <si>
    <t>bedrock with cobble</t>
  </si>
  <si>
    <t>bedrock, boulder and large cobble</t>
  </si>
  <si>
    <t>bedrock</t>
  </si>
  <si>
    <t>cobble</t>
  </si>
  <si>
    <t>boulder and large gravel</t>
  </si>
  <si>
    <t>large cobble</t>
  </si>
  <si>
    <t>coarse gravel and cobble</t>
  </si>
  <si>
    <t>gravel and boulder</t>
  </si>
  <si>
    <t>cobble and boulder</t>
  </si>
  <si>
    <t>large cobble and gravel</t>
  </si>
  <si>
    <t>boulder and cobble</t>
  </si>
  <si>
    <t>boulder and bedrock</t>
  </si>
  <si>
    <t>bedrock and large cobble</t>
  </si>
  <si>
    <t>bedrock and boulder</t>
  </si>
  <si>
    <t>boulder</t>
  </si>
  <si>
    <t>large cobble and boulder</t>
  </si>
  <si>
    <t>bedrock, boulder and large gravel</t>
  </si>
  <si>
    <t>large gravel and cobble, a few boulders</t>
  </si>
  <si>
    <t>large cobble and few boulders</t>
  </si>
  <si>
    <t>bedrock and sand</t>
  </si>
  <si>
    <t>bedrock with cobbles and gravels</t>
  </si>
  <si>
    <t>cobble and gravel</t>
  </si>
  <si>
    <t>boulder and gravel/cobble</t>
  </si>
  <si>
    <t>boulder and gravel</t>
  </si>
  <si>
    <t>gravel and bedrock</t>
  </si>
  <si>
    <t>gravel and cobble with a few boulders</t>
  </si>
  <si>
    <t>large cobble and bedrock</t>
  </si>
  <si>
    <t>bedrock and gravel</t>
  </si>
  <si>
    <t>cobble and small boulder</t>
  </si>
  <si>
    <t>bedrock, boulders and gravel</t>
  </si>
  <si>
    <t>coarse gravel and boulder</t>
  </si>
  <si>
    <t>boulder and sandy gravel</t>
  </si>
  <si>
    <t>bedrock and small cobble</t>
  </si>
  <si>
    <t>bedrock and small boulder</t>
  </si>
  <si>
    <t>Rubicon River</t>
  </si>
  <si>
    <t>Substrate Notes</t>
  </si>
  <si>
    <t>Middle Fork American River (MFAR)</t>
  </si>
  <si>
    <t>Calculated V*</t>
  </si>
  <si>
    <t>&lt;0.001</t>
  </si>
  <si>
    <r>
      <t>Pool Bed Surface 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</si>
  <si>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Avg Residual Pool Volume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</si>
  <si>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Avg Volume Fine Sediment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</si>
  <si>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Avg Length
(ft)</t>
  </si>
  <si>
    <t>Avg
Width
(ft)</t>
  </si>
  <si>
    <t>Avg Fines Thickness (ft)</t>
  </si>
  <si>
    <r>
      <t>Avg Fines Surface 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</si>
  <si>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Rubicon River (continued)</t>
  </si>
  <si>
    <t>Weighted 2007 V*</t>
  </si>
  <si>
    <t>Weighted 2006 V*</t>
  </si>
  <si>
    <t xml:space="preserve">Table AQ 9-2. V* Measurement Results 2006 and 2007 (continued). </t>
  </si>
  <si>
    <t xml:space="preserve">Table AQ 9-2. V* Measurement Results 2006 and 2007. </t>
  </si>
  <si>
    <t>French Meadows Reservoir to Middle Fork Interbay</t>
  </si>
  <si>
    <t>Middle Fork Interbay to Ralston Afterbay</t>
  </si>
  <si>
    <t>Below Ralston Afterbay</t>
  </si>
  <si>
    <t>Hell Hole Reservoir to South Fork Rubicon River</t>
  </si>
  <si>
    <t>South Fork Rubicon River to Ralston Afterbay</t>
  </si>
  <si>
    <t>North Fork Long Canyon Creek</t>
  </si>
  <si>
    <t xml:space="preserve">South Fork Long Canyon Creek </t>
  </si>
  <si>
    <t xml:space="preserve">Long Canyon Creek </t>
  </si>
  <si>
    <t>North Fork American River</t>
  </si>
  <si>
    <t>North Fork of the Middle Fork American River</t>
  </si>
  <si>
    <t>Comparison Streams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</si>
</sst>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#,##0.0"/>
    <numFmt numFmtId="171" formatCode="#,##0.000"/>
    <numFmt numFmtId="172" formatCode="0.0000000"/>
    <numFmt numFmtId="173" formatCode="0.000000"/>
    <numFmt numFmtId="174" formatCode="0.00000"/>
    <numFmt numFmtId="175" formatCode="0.0000000000"/>
    <numFmt numFmtId="176" formatCode="0.00000000000"/>
    <numFmt numFmtId="177" formatCode="0.000000000"/>
    <numFmt numFmtId="178" formatCode="0.00000000"/>
    <numFmt numFmtId="179" formatCode="_(* #,##0.0_);_(* \(#,##0.0\);_(* &quot;-&quot;??_);_(@_)"/>
    <numFmt numFmtId="180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1" xfId="15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164" fontId="2" fillId="0" borderId="1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SheetLayoutView="100" workbookViewId="0" topLeftCell="A91">
      <selection activeCell="O110" sqref="O110"/>
    </sheetView>
  </sheetViews>
  <sheetFormatPr defaultColWidth="9.140625" defaultRowHeight="12.75"/>
  <cols>
    <col min="1" max="1" width="16.421875" style="4" customWidth="1"/>
    <col min="2" max="2" width="8.140625" style="4" bestFit="1" customWidth="1"/>
    <col min="3" max="3" width="0" style="5" hidden="1" customWidth="1"/>
    <col min="4" max="4" width="6.00390625" style="5" bestFit="1" customWidth="1"/>
    <col min="5" max="5" width="8.57421875" style="5" customWidth="1"/>
    <col min="6" max="6" width="8.140625" style="5" customWidth="1"/>
    <col min="7" max="7" width="9.7109375" style="5" customWidth="1"/>
    <col min="8" max="8" width="14.57421875" style="5" customWidth="1"/>
    <col min="9" max="9" width="12.140625" style="5" customWidth="1"/>
    <col min="10" max="10" width="11.140625" style="5" customWidth="1"/>
    <col min="11" max="11" width="13.8515625" style="5" customWidth="1"/>
    <col min="12" max="12" width="12.00390625" style="0" bestFit="1" customWidth="1"/>
    <col min="13" max="13" width="33.57421875" style="15" hidden="1" customWidth="1"/>
    <col min="14" max="14" width="17.57421875" style="0" customWidth="1"/>
  </cols>
  <sheetData>
    <row r="1" spans="1:12" ht="31.5" customHeight="1" thickBot="1">
      <c r="A1" s="44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12" customFormat="1" ht="43.5" customHeight="1" thickBot="1">
      <c r="A2" s="32" t="s">
        <v>0</v>
      </c>
      <c r="B2" s="32" t="s">
        <v>5</v>
      </c>
      <c r="C2" s="32" t="s">
        <v>1</v>
      </c>
      <c r="D2" s="32" t="s">
        <v>2</v>
      </c>
      <c r="E2" s="32" t="s">
        <v>56</v>
      </c>
      <c r="F2" s="32" t="s">
        <v>57</v>
      </c>
      <c r="G2" s="32" t="s">
        <v>53</v>
      </c>
      <c r="H2" s="32" t="s">
        <v>54</v>
      </c>
      <c r="I2" s="32" t="s">
        <v>58</v>
      </c>
      <c r="J2" s="32" t="s">
        <v>59</v>
      </c>
      <c r="K2" s="32" t="s">
        <v>55</v>
      </c>
      <c r="L2" s="32" t="s">
        <v>51</v>
      </c>
      <c r="M2" s="28" t="s">
        <v>49</v>
      </c>
    </row>
    <row r="3" spans="1:13" ht="12.75">
      <c r="A3" s="39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1"/>
    </row>
    <row r="4" spans="1:13" ht="12.75">
      <c r="A4" s="33" t="s">
        <v>3</v>
      </c>
      <c r="B4" s="1">
        <v>1</v>
      </c>
      <c r="C4" s="2">
        <v>206</v>
      </c>
      <c r="D4" s="2">
        <v>6.16</v>
      </c>
      <c r="E4" s="11">
        <f>24*3</f>
        <v>72</v>
      </c>
      <c r="F4" s="11">
        <v>7</v>
      </c>
      <c r="G4" s="11">
        <f aca="true" t="shared" si="0" ref="G4:G13">+E4*F4</f>
        <v>504</v>
      </c>
      <c r="H4" s="11">
        <f>3.25*G4</f>
        <v>1638</v>
      </c>
      <c r="I4" s="9" t="s">
        <v>7</v>
      </c>
      <c r="J4" s="9" t="s">
        <v>6</v>
      </c>
      <c r="K4" s="9" t="s">
        <v>6</v>
      </c>
      <c r="L4" s="23" t="s">
        <v>52</v>
      </c>
      <c r="M4" s="17" t="s">
        <v>40</v>
      </c>
    </row>
    <row r="5" spans="1:13" ht="12.75">
      <c r="A5" s="33"/>
      <c r="B5" s="1">
        <v>2</v>
      </c>
      <c r="C5" s="2">
        <v>203</v>
      </c>
      <c r="D5" s="2">
        <v>6.53</v>
      </c>
      <c r="E5" s="11">
        <f>15*3</f>
        <v>45</v>
      </c>
      <c r="F5" s="11">
        <f>10*3</f>
        <v>30</v>
      </c>
      <c r="G5" s="11">
        <f t="shared" si="0"/>
        <v>1350</v>
      </c>
      <c r="H5" s="11">
        <f>+G5*1</f>
        <v>1350</v>
      </c>
      <c r="I5" s="9">
        <v>0</v>
      </c>
      <c r="J5" s="9">
        <v>0</v>
      </c>
      <c r="K5" s="9">
        <f>+J5*I5</f>
        <v>0</v>
      </c>
      <c r="L5" s="23">
        <v>0</v>
      </c>
      <c r="M5" s="17" t="s">
        <v>16</v>
      </c>
    </row>
    <row r="6" spans="1:13" ht="12.75">
      <c r="A6" s="33"/>
      <c r="B6" s="1">
        <v>3</v>
      </c>
      <c r="C6" s="2">
        <v>195</v>
      </c>
      <c r="D6" s="2">
        <v>6.47</v>
      </c>
      <c r="E6" s="11">
        <f>17*3</f>
        <v>51</v>
      </c>
      <c r="F6" s="11">
        <v>1.3333333333333333</v>
      </c>
      <c r="G6" s="11">
        <f t="shared" si="0"/>
        <v>68</v>
      </c>
      <c r="H6" s="11">
        <f>1.75*G6</f>
        <v>119</v>
      </c>
      <c r="I6" s="9">
        <v>0.2</v>
      </c>
      <c r="J6" s="9">
        <f>2*1.5</f>
        <v>3</v>
      </c>
      <c r="K6" s="9">
        <f>+J6*I6</f>
        <v>0.6000000000000001</v>
      </c>
      <c r="L6" s="23">
        <v>0.00504201680672269</v>
      </c>
      <c r="M6" s="17" t="s">
        <v>39</v>
      </c>
    </row>
    <row r="7" spans="1:13" ht="12.75">
      <c r="A7" s="33"/>
      <c r="B7" s="1">
        <v>4</v>
      </c>
      <c r="C7" s="2">
        <v>192</v>
      </c>
      <c r="D7" s="2">
        <v>6.41</v>
      </c>
      <c r="E7" s="11">
        <f>15*3</f>
        <v>45</v>
      </c>
      <c r="F7" s="11">
        <f>10*3</f>
        <v>30</v>
      </c>
      <c r="G7" s="11">
        <f t="shared" si="0"/>
        <v>1350</v>
      </c>
      <c r="H7" s="11">
        <f>4.5*G7</f>
        <v>6075</v>
      </c>
      <c r="I7" s="9">
        <v>0</v>
      </c>
      <c r="J7" s="9">
        <v>0</v>
      </c>
      <c r="K7" s="9">
        <f>+J7*I7</f>
        <v>0</v>
      </c>
      <c r="L7" s="23">
        <v>0</v>
      </c>
      <c r="M7" s="17" t="s">
        <v>21</v>
      </c>
    </row>
    <row r="8" spans="1:13" ht="12.75">
      <c r="A8" s="33"/>
      <c r="B8" s="1">
        <v>5</v>
      </c>
      <c r="C8" s="2">
        <v>188</v>
      </c>
      <c r="D8" s="2">
        <v>6.37</v>
      </c>
      <c r="E8" s="11">
        <f>17*3</f>
        <v>51</v>
      </c>
      <c r="F8" s="11">
        <f>4*3</f>
        <v>12</v>
      </c>
      <c r="G8" s="11">
        <f t="shared" si="0"/>
        <v>612</v>
      </c>
      <c r="H8" s="11">
        <f>2*G8</f>
        <v>1224</v>
      </c>
      <c r="I8" s="9">
        <v>0.1</v>
      </c>
      <c r="J8" s="9">
        <f>3*1</f>
        <v>3</v>
      </c>
      <c r="K8" s="9">
        <f>+J8*I8</f>
        <v>0.30000000000000004</v>
      </c>
      <c r="L8" s="19">
        <v>0.0002450980392156863</v>
      </c>
      <c r="M8" s="17" t="s">
        <v>38</v>
      </c>
    </row>
    <row r="9" spans="1:13" ht="12.75">
      <c r="A9" s="33"/>
      <c r="B9" s="1">
        <v>6</v>
      </c>
      <c r="C9" s="2">
        <v>188</v>
      </c>
      <c r="D9" s="2">
        <v>6.35</v>
      </c>
      <c r="E9" s="11">
        <f>18*3</f>
        <v>54</v>
      </c>
      <c r="F9" s="11">
        <v>6</v>
      </c>
      <c r="G9" s="11">
        <f t="shared" si="0"/>
        <v>324</v>
      </c>
      <c r="H9" s="11">
        <f>1.5*G9</f>
        <v>486</v>
      </c>
      <c r="I9" s="9" t="s">
        <v>7</v>
      </c>
      <c r="J9" s="9" t="s">
        <v>6</v>
      </c>
      <c r="K9" s="9" t="s">
        <v>6</v>
      </c>
      <c r="L9" s="23" t="s">
        <v>52</v>
      </c>
      <c r="M9" s="17" t="s">
        <v>38</v>
      </c>
    </row>
    <row r="10" spans="1:13" ht="12.75">
      <c r="A10" s="33"/>
      <c r="B10" s="1">
        <v>7</v>
      </c>
      <c r="C10" s="2">
        <v>186</v>
      </c>
      <c r="D10" s="2">
        <v>6.34</v>
      </c>
      <c r="E10" s="11">
        <f>26*3</f>
        <v>78</v>
      </c>
      <c r="F10" s="11">
        <v>8</v>
      </c>
      <c r="G10" s="11">
        <f t="shared" si="0"/>
        <v>624</v>
      </c>
      <c r="H10" s="11">
        <f>1*G10</f>
        <v>624</v>
      </c>
      <c r="I10" s="9" t="s">
        <v>7</v>
      </c>
      <c r="J10" s="9" t="s">
        <v>6</v>
      </c>
      <c r="K10" s="9" t="s">
        <v>6</v>
      </c>
      <c r="L10" s="23" t="s">
        <v>52</v>
      </c>
      <c r="M10" s="17" t="s">
        <v>21</v>
      </c>
    </row>
    <row r="11" spans="1:13" ht="12.75">
      <c r="A11" s="33"/>
      <c r="B11" s="1">
        <v>8</v>
      </c>
      <c r="C11" s="2">
        <v>181</v>
      </c>
      <c r="D11" s="2">
        <v>6.3</v>
      </c>
      <c r="E11" s="11">
        <f>13*3</f>
        <v>39</v>
      </c>
      <c r="F11" s="11">
        <f>15*3</f>
        <v>45</v>
      </c>
      <c r="G11" s="11">
        <f t="shared" si="0"/>
        <v>1755</v>
      </c>
      <c r="H11" s="11">
        <f>2*G11</f>
        <v>3510</v>
      </c>
      <c r="I11" s="9" t="s">
        <v>7</v>
      </c>
      <c r="J11" s="9" t="s">
        <v>6</v>
      </c>
      <c r="K11" s="9" t="s">
        <v>6</v>
      </c>
      <c r="L11" s="23" t="s">
        <v>52</v>
      </c>
      <c r="M11" s="17" t="s">
        <v>21</v>
      </c>
    </row>
    <row r="12" spans="1:13" ht="12.75">
      <c r="A12" s="33"/>
      <c r="B12" s="1">
        <v>9</v>
      </c>
      <c r="C12" s="2">
        <v>175</v>
      </c>
      <c r="D12" s="2">
        <v>6.28</v>
      </c>
      <c r="E12" s="11">
        <f>18*3</f>
        <v>54</v>
      </c>
      <c r="F12" s="11">
        <v>18</v>
      </c>
      <c r="G12" s="11">
        <f t="shared" si="0"/>
        <v>972</v>
      </c>
      <c r="H12" s="11">
        <f>2*G12</f>
        <v>1944</v>
      </c>
      <c r="I12" s="9">
        <v>0.2</v>
      </c>
      <c r="J12" s="9">
        <f>4*4</f>
        <v>16</v>
      </c>
      <c r="K12" s="9">
        <f>+J12*I12</f>
        <v>3.2</v>
      </c>
      <c r="L12" s="23">
        <v>0.001646090534979424</v>
      </c>
      <c r="M12" s="17" t="s">
        <v>21</v>
      </c>
    </row>
    <row r="13" spans="1:13" ht="12.75">
      <c r="A13" s="33"/>
      <c r="B13" s="1">
        <v>10</v>
      </c>
      <c r="C13" s="2">
        <v>170</v>
      </c>
      <c r="D13" s="2">
        <v>6.2</v>
      </c>
      <c r="E13" s="11">
        <f>20*3</f>
        <v>60</v>
      </c>
      <c r="F13" s="11">
        <v>8</v>
      </c>
      <c r="G13" s="11">
        <f t="shared" si="0"/>
        <v>480</v>
      </c>
      <c r="H13" s="11">
        <f>1.5*G13</f>
        <v>720</v>
      </c>
      <c r="I13" s="9">
        <v>0</v>
      </c>
      <c r="J13" s="9">
        <v>0</v>
      </c>
      <c r="K13" s="9">
        <v>0</v>
      </c>
      <c r="L13" s="23">
        <v>0</v>
      </c>
      <c r="M13" s="17" t="s">
        <v>22</v>
      </c>
    </row>
    <row r="14" spans="1:13" ht="13.5" thickBot="1">
      <c r="A14" s="34"/>
      <c r="B14" s="35" t="s">
        <v>61</v>
      </c>
      <c r="C14" s="36"/>
      <c r="D14" s="36"/>
      <c r="E14" s="36"/>
      <c r="F14" s="36"/>
      <c r="G14" s="36"/>
      <c r="H14" s="36"/>
      <c r="I14" s="36"/>
      <c r="J14" s="36"/>
      <c r="K14" s="36"/>
      <c r="L14" s="26">
        <f>+(SUM(K4:K13)/((SUM(H4:H13)+(SUM(K4:K13)))))</f>
        <v>0.00023171565663130652</v>
      </c>
      <c r="M14" s="17"/>
    </row>
    <row r="15" spans="1:13" ht="13.5" thickBot="1">
      <c r="A15" s="37" t="s">
        <v>50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6"/>
    </row>
    <row r="16" spans="1:13" ht="12.75">
      <c r="A16" s="40" t="s">
        <v>65</v>
      </c>
      <c r="B16" s="3">
        <v>1</v>
      </c>
      <c r="C16" s="2">
        <v>690</v>
      </c>
      <c r="D16" s="2">
        <v>45</v>
      </c>
      <c r="E16" s="11">
        <f>27*3</f>
        <v>81</v>
      </c>
      <c r="F16" s="11">
        <f>10*3</f>
        <v>30</v>
      </c>
      <c r="G16" s="11">
        <f aca="true" t="shared" si="1" ref="G16:G30">+E16*F16</f>
        <v>2430</v>
      </c>
      <c r="H16" s="11">
        <f>3*G16</f>
        <v>7290</v>
      </c>
      <c r="I16" s="9">
        <v>0.3</v>
      </c>
      <c r="J16" s="11">
        <f>7.5*4</f>
        <v>30</v>
      </c>
      <c r="K16" s="11">
        <f>+J16*I16</f>
        <v>9</v>
      </c>
      <c r="L16" s="23">
        <v>0.0012345679012345679</v>
      </c>
      <c r="M16" s="16" t="s">
        <v>16</v>
      </c>
    </row>
    <row r="17" spans="1:13" ht="12.75">
      <c r="A17" s="42"/>
      <c r="B17" s="3">
        <v>2</v>
      </c>
      <c r="C17" s="2">
        <v>691</v>
      </c>
      <c r="D17" s="2">
        <v>44.92</v>
      </c>
      <c r="E17" s="11">
        <f>17*3</f>
        <v>51</v>
      </c>
      <c r="F17" s="11">
        <f>10*3</f>
        <v>30</v>
      </c>
      <c r="G17" s="11">
        <f t="shared" si="1"/>
        <v>1530</v>
      </c>
      <c r="H17" s="11">
        <f>2*G17</f>
        <v>3060</v>
      </c>
      <c r="I17" s="9" t="s">
        <v>7</v>
      </c>
      <c r="J17" s="11" t="s">
        <v>6</v>
      </c>
      <c r="K17" s="11" t="s">
        <v>6</v>
      </c>
      <c r="L17" s="23" t="s">
        <v>52</v>
      </c>
      <c r="M17" s="17" t="s">
        <v>25</v>
      </c>
    </row>
    <row r="18" spans="1:13" ht="12.75">
      <c r="A18" s="42"/>
      <c r="B18" s="3">
        <v>3</v>
      </c>
      <c r="C18" s="8">
        <v>694</v>
      </c>
      <c r="D18" s="2">
        <v>44.9</v>
      </c>
      <c r="E18" s="11">
        <f>29*3</f>
        <v>87</v>
      </c>
      <c r="F18" s="11">
        <f>12*3</f>
        <v>36</v>
      </c>
      <c r="G18" s="11">
        <f t="shared" si="1"/>
        <v>3132</v>
      </c>
      <c r="H18" s="11">
        <f>1*G18</f>
        <v>3132</v>
      </c>
      <c r="I18" s="9">
        <v>0.2</v>
      </c>
      <c r="J18" s="11">
        <f>8*7</f>
        <v>56</v>
      </c>
      <c r="K18" s="11">
        <f aca="true" t="shared" si="2" ref="K18:K25">+J18*I18</f>
        <v>11.200000000000001</v>
      </c>
      <c r="L18" s="23">
        <v>0.003575989782886335</v>
      </c>
      <c r="M18" s="17" t="s">
        <v>25</v>
      </c>
    </row>
    <row r="19" spans="1:13" ht="12.75">
      <c r="A19" s="42"/>
      <c r="B19" s="3">
        <v>4</v>
      </c>
      <c r="C19" s="2">
        <v>694</v>
      </c>
      <c r="D19" s="2">
        <v>44.9</v>
      </c>
      <c r="E19" s="11">
        <f>29*3</f>
        <v>87</v>
      </c>
      <c r="F19" s="11">
        <f>8*3</f>
        <v>24</v>
      </c>
      <c r="G19" s="11">
        <f t="shared" si="1"/>
        <v>2088</v>
      </c>
      <c r="H19" s="11">
        <f>1.5*G19</f>
        <v>3132</v>
      </c>
      <c r="I19" s="9">
        <v>0.3</v>
      </c>
      <c r="J19" s="11">
        <f>7*1.5</f>
        <v>10.5</v>
      </c>
      <c r="K19" s="11">
        <f t="shared" si="2"/>
        <v>3.15</v>
      </c>
      <c r="L19" s="23">
        <v>0.0010057471264367816</v>
      </c>
      <c r="M19" s="17" t="s">
        <v>25</v>
      </c>
    </row>
    <row r="20" spans="1:13" ht="12.75">
      <c r="A20" s="42"/>
      <c r="B20" s="1">
        <v>5</v>
      </c>
      <c r="C20" s="2">
        <v>694</v>
      </c>
      <c r="D20" s="2">
        <v>44.89</v>
      </c>
      <c r="E20" s="11">
        <f>15*3</f>
        <v>45</v>
      </c>
      <c r="F20" s="11">
        <f>12*3</f>
        <v>36</v>
      </c>
      <c r="G20" s="11">
        <f t="shared" si="1"/>
        <v>1620</v>
      </c>
      <c r="H20" s="11">
        <f>4*G20</f>
        <v>6480</v>
      </c>
      <c r="I20" s="9">
        <v>0</v>
      </c>
      <c r="J20" s="11">
        <v>0</v>
      </c>
      <c r="K20" s="11">
        <f t="shared" si="2"/>
        <v>0</v>
      </c>
      <c r="L20" s="23">
        <v>0</v>
      </c>
      <c r="M20" s="17" t="s">
        <v>25</v>
      </c>
    </row>
    <row r="21" spans="1:13" ht="12.75">
      <c r="A21" s="42"/>
      <c r="B21" s="1">
        <v>6</v>
      </c>
      <c r="C21" s="2">
        <v>716</v>
      </c>
      <c r="D21" s="2">
        <v>44.89</v>
      </c>
      <c r="E21" s="11">
        <f>23*3</f>
        <v>69</v>
      </c>
      <c r="F21" s="11">
        <f>15*3</f>
        <v>45</v>
      </c>
      <c r="G21" s="11">
        <f t="shared" si="1"/>
        <v>3105</v>
      </c>
      <c r="H21" s="11">
        <f>2.5*G21</f>
        <v>7762.5</v>
      </c>
      <c r="I21" s="9">
        <v>0.15</v>
      </c>
      <c r="J21" s="11">
        <f>2*5</f>
        <v>10</v>
      </c>
      <c r="K21" s="11">
        <f t="shared" si="2"/>
        <v>1.5</v>
      </c>
      <c r="L21" s="19">
        <v>0.0001932367149758454</v>
      </c>
      <c r="M21" s="17" t="s">
        <v>24</v>
      </c>
    </row>
    <row r="22" spans="1:13" ht="12.75">
      <c r="A22" s="42"/>
      <c r="B22" s="1">
        <v>7</v>
      </c>
      <c r="C22" s="2">
        <v>717</v>
      </c>
      <c r="D22" s="2">
        <v>44.86</v>
      </c>
      <c r="E22" s="11">
        <f>38*3</f>
        <v>114</v>
      </c>
      <c r="F22" s="11">
        <f>12*3</f>
        <v>36</v>
      </c>
      <c r="G22" s="11">
        <f t="shared" si="1"/>
        <v>4104</v>
      </c>
      <c r="H22" s="11">
        <f>1.25*G22</f>
        <v>5130</v>
      </c>
      <c r="I22" s="9">
        <v>0.8</v>
      </c>
      <c r="J22" s="11">
        <f>35*13</f>
        <v>455</v>
      </c>
      <c r="K22" s="11">
        <f t="shared" si="2"/>
        <v>364</v>
      </c>
      <c r="L22" s="23">
        <v>0.0709551656920078</v>
      </c>
      <c r="M22" s="17" t="s">
        <v>41</v>
      </c>
    </row>
    <row r="23" spans="1:13" ht="12.75">
      <c r="A23" s="42"/>
      <c r="B23" s="1">
        <v>8</v>
      </c>
      <c r="C23" s="2">
        <v>718</v>
      </c>
      <c r="D23" s="2">
        <v>44.83</v>
      </c>
      <c r="E23" s="11">
        <f>23*3</f>
        <v>69</v>
      </c>
      <c r="F23" s="11">
        <f>11*3</f>
        <v>33</v>
      </c>
      <c r="G23" s="11">
        <f t="shared" si="1"/>
        <v>2277</v>
      </c>
      <c r="H23" s="11">
        <f>1.5*G23</f>
        <v>3415.5</v>
      </c>
      <c r="I23" s="9">
        <v>0</v>
      </c>
      <c r="J23" s="11">
        <v>0</v>
      </c>
      <c r="K23" s="11">
        <f t="shared" si="2"/>
        <v>0</v>
      </c>
      <c r="L23" s="23">
        <v>0</v>
      </c>
      <c r="M23" s="17" t="s">
        <v>35</v>
      </c>
    </row>
    <row r="24" spans="1:13" ht="12.75" customHeight="1">
      <c r="A24" s="42"/>
      <c r="B24" s="1">
        <v>9</v>
      </c>
      <c r="C24" s="2">
        <v>721</v>
      </c>
      <c r="D24" s="2">
        <v>44.8</v>
      </c>
      <c r="E24" s="11">
        <f>23*3</f>
        <v>69</v>
      </c>
      <c r="F24" s="11">
        <f>11*3</f>
        <v>33</v>
      </c>
      <c r="G24" s="11">
        <f t="shared" si="1"/>
        <v>2277</v>
      </c>
      <c r="H24" s="11">
        <f>1.5*G24</f>
        <v>3415.5</v>
      </c>
      <c r="I24" s="9">
        <v>0.3</v>
      </c>
      <c r="J24" s="11">
        <f>19*6</f>
        <v>114</v>
      </c>
      <c r="K24" s="11">
        <f t="shared" si="2"/>
        <v>34.199999999999996</v>
      </c>
      <c r="L24" s="23">
        <v>0.010013175230566534</v>
      </c>
      <c r="M24" s="17" t="s">
        <v>45</v>
      </c>
    </row>
    <row r="25" spans="1:13" ht="12.75">
      <c r="A25" s="42"/>
      <c r="B25" s="1">
        <v>10</v>
      </c>
      <c r="C25" s="2">
        <v>722</v>
      </c>
      <c r="D25" s="2">
        <v>44.79</v>
      </c>
      <c r="E25" s="11">
        <f>15*3</f>
        <v>45</v>
      </c>
      <c r="F25" s="11">
        <f>11*3</f>
        <v>33</v>
      </c>
      <c r="G25" s="11">
        <f t="shared" si="1"/>
        <v>1485</v>
      </c>
      <c r="H25" s="11">
        <f>3*G25</f>
        <v>4455</v>
      </c>
      <c r="I25" s="9">
        <v>0.1</v>
      </c>
      <c r="J25" s="11">
        <f>15*3</f>
        <v>45</v>
      </c>
      <c r="K25" s="11">
        <f t="shared" si="2"/>
        <v>4.5</v>
      </c>
      <c r="L25" s="23">
        <v>0.00101010101010101</v>
      </c>
      <c r="M25" s="17" t="s">
        <v>16</v>
      </c>
    </row>
    <row r="26" spans="1:13" ht="12.75">
      <c r="A26" s="42"/>
      <c r="B26" s="1">
        <v>11</v>
      </c>
      <c r="C26" s="2">
        <v>723</v>
      </c>
      <c r="D26" s="2">
        <v>36.25</v>
      </c>
      <c r="E26" s="11">
        <f>59*3</f>
        <v>177</v>
      </c>
      <c r="F26" s="11">
        <f>21.5*3</f>
        <v>64.5</v>
      </c>
      <c r="G26" s="11">
        <f t="shared" si="1"/>
        <v>11416.5</v>
      </c>
      <c r="H26" s="11">
        <f>3.7*G26</f>
        <v>42241.05</v>
      </c>
      <c r="I26" s="10" t="s">
        <v>7</v>
      </c>
      <c r="J26" s="11" t="s">
        <v>6</v>
      </c>
      <c r="K26" s="11" t="s">
        <v>6</v>
      </c>
      <c r="L26" s="23" t="s">
        <v>52</v>
      </c>
      <c r="M26" s="17" t="s">
        <v>27</v>
      </c>
    </row>
    <row r="27" spans="1:13" ht="12.75" customHeight="1">
      <c r="A27" s="42"/>
      <c r="B27" s="1">
        <v>12</v>
      </c>
      <c r="C27" s="2">
        <v>724</v>
      </c>
      <c r="D27" s="2">
        <v>36.2</v>
      </c>
      <c r="E27" s="11">
        <f>39*3</f>
        <v>117</v>
      </c>
      <c r="F27" s="11">
        <v>34</v>
      </c>
      <c r="G27" s="11">
        <f t="shared" si="1"/>
        <v>3978</v>
      </c>
      <c r="H27" s="11">
        <f>3*G27</f>
        <v>11934</v>
      </c>
      <c r="I27" s="9">
        <v>0</v>
      </c>
      <c r="J27" s="11">
        <v>0</v>
      </c>
      <c r="K27" s="11">
        <f>+J27*I27</f>
        <v>0</v>
      </c>
      <c r="L27" s="23">
        <v>0</v>
      </c>
      <c r="M27" s="17" t="s">
        <v>46</v>
      </c>
    </row>
    <row r="28" spans="1:13" ht="12.75">
      <c r="A28" s="42"/>
      <c r="B28" s="1">
        <v>13</v>
      </c>
      <c r="C28" s="2">
        <v>725</v>
      </c>
      <c r="D28" s="8">
        <v>36.18</v>
      </c>
      <c r="E28" s="11">
        <f>34*3</f>
        <v>102</v>
      </c>
      <c r="F28" s="11">
        <f>11*3</f>
        <v>33</v>
      </c>
      <c r="G28" s="11">
        <f t="shared" si="1"/>
        <v>3366</v>
      </c>
      <c r="H28" s="11">
        <f>2*G28</f>
        <v>6732</v>
      </c>
      <c r="I28" s="9" t="s">
        <v>7</v>
      </c>
      <c r="J28" s="11" t="s">
        <v>6</v>
      </c>
      <c r="K28" s="11" t="s">
        <v>6</v>
      </c>
      <c r="L28" s="23" t="s">
        <v>52</v>
      </c>
      <c r="M28" s="17" t="s">
        <v>10</v>
      </c>
    </row>
    <row r="29" spans="1:13" ht="12.75">
      <c r="A29" s="42"/>
      <c r="B29" s="1">
        <v>14</v>
      </c>
      <c r="C29" s="2">
        <v>728</v>
      </c>
      <c r="D29" s="2">
        <v>36.16</v>
      </c>
      <c r="E29" s="11">
        <f>12*3</f>
        <v>36</v>
      </c>
      <c r="F29" s="11">
        <f>19*3</f>
        <v>57</v>
      </c>
      <c r="G29" s="11">
        <f t="shared" si="1"/>
        <v>2052</v>
      </c>
      <c r="H29" s="11">
        <f>4*G29</f>
        <v>8208</v>
      </c>
      <c r="I29" s="9" t="s">
        <v>7</v>
      </c>
      <c r="J29" s="11" t="s">
        <v>6</v>
      </c>
      <c r="K29" s="11" t="s">
        <v>6</v>
      </c>
      <c r="L29" s="23" t="s">
        <v>52</v>
      </c>
      <c r="M29" s="17" t="s">
        <v>17</v>
      </c>
    </row>
    <row r="30" spans="1:13" ht="12.75">
      <c r="A30" s="42"/>
      <c r="B30" s="1">
        <v>15</v>
      </c>
      <c r="C30" s="2">
        <v>732</v>
      </c>
      <c r="D30" s="2">
        <v>36.11</v>
      </c>
      <c r="E30" s="11">
        <f>73*3</f>
        <v>219</v>
      </c>
      <c r="F30" s="11">
        <f>15*3</f>
        <v>45</v>
      </c>
      <c r="G30" s="11">
        <f t="shared" si="1"/>
        <v>9855</v>
      </c>
      <c r="H30" s="11">
        <f>4.5*G30</f>
        <v>44347.5</v>
      </c>
      <c r="I30" s="9" t="s">
        <v>7</v>
      </c>
      <c r="J30" s="11" t="s">
        <v>6</v>
      </c>
      <c r="K30" s="11" t="s">
        <v>6</v>
      </c>
      <c r="L30" s="23" t="s">
        <v>52</v>
      </c>
      <c r="M30" s="17" t="s">
        <v>47</v>
      </c>
    </row>
    <row r="31" spans="1:13" ht="12.75">
      <c r="A31" s="42"/>
      <c r="B31" s="35" t="s">
        <v>61</v>
      </c>
      <c r="C31" s="36"/>
      <c r="D31" s="36"/>
      <c r="E31" s="36"/>
      <c r="F31" s="36"/>
      <c r="G31" s="36"/>
      <c r="H31" s="36"/>
      <c r="I31" s="36"/>
      <c r="J31" s="36"/>
      <c r="K31" s="36"/>
      <c r="L31" s="27">
        <f>+(SUM(K16:K30)/((SUM(H16:H30)+(SUM(K16:K30)))))</f>
        <v>0.002652910786994005</v>
      </c>
      <c r="M31" s="17"/>
    </row>
    <row r="32" spans="1:13" ht="12.75">
      <c r="A32" s="42"/>
      <c r="B32" s="31">
        <v>16</v>
      </c>
      <c r="C32" s="13"/>
      <c r="D32" s="13">
        <v>36.06</v>
      </c>
      <c r="E32" s="13">
        <v>168</v>
      </c>
      <c r="F32" s="13">
        <v>50</v>
      </c>
      <c r="G32" s="11">
        <f>+E32*F32</f>
        <v>8400</v>
      </c>
      <c r="H32" s="13">
        <v>11797</v>
      </c>
      <c r="I32" s="13">
        <v>0.2</v>
      </c>
      <c r="J32" s="13">
        <v>895</v>
      </c>
      <c r="K32" s="13">
        <v>179</v>
      </c>
      <c r="L32" s="22">
        <v>0.02</v>
      </c>
      <c r="M32" s="17"/>
    </row>
    <row r="33" spans="1:13" ht="12.75">
      <c r="A33" s="42"/>
      <c r="B33" s="31">
        <v>17</v>
      </c>
      <c r="C33" s="13"/>
      <c r="D33" s="13">
        <v>35.98</v>
      </c>
      <c r="E33" s="13">
        <v>221</v>
      </c>
      <c r="F33" s="13">
        <v>55</v>
      </c>
      <c r="G33" s="11">
        <f>+E33*F33</f>
        <v>12155</v>
      </c>
      <c r="H33" s="13">
        <v>7263</v>
      </c>
      <c r="I33" s="13">
        <v>0.3</v>
      </c>
      <c r="J33" s="13">
        <v>1150</v>
      </c>
      <c r="K33" s="13">
        <v>345</v>
      </c>
      <c r="L33" s="22">
        <v>0.03</v>
      </c>
      <c r="M33" s="17"/>
    </row>
    <row r="34" spans="1:13" ht="12.75">
      <c r="A34" s="43"/>
      <c r="B34" s="35" t="s">
        <v>62</v>
      </c>
      <c r="C34" s="36"/>
      <c r="D34" s="36"/>
      <c r="E34" s="36"/>
      <c r="F34" s="36"/>
      <c r="G34" s="36"/>
      <c r="H34" s="36"/>
      <c r="I34" s="36"/>
      <c r="J34" s="36"/>
      <c r="K34" s="36"/>
      <c r="L34" s="27">
        <f>+(SUM(K32:K33)/((SUM(H32:H33)+(SUM(K32:K33)))))</f>
        <v>0.026756535947712417</v>
      </c>
      <c r="M34" s="17"/>
    </row>
    <row r="35" spans="1:13" ht="12.75">
      <c r="A35" s="40" t="s">
        <v>66</v>
      </c>
      <c r="B35" s="31">
        <v>1</v>
      </c>
      <c r="C35" s="13"/>
      <c r="D35" s="13">
        <v>29.4</v>
      </c>
      <c r="E35" s="13">
        <v>164</v>
      </c>
      <c r="F35" s="13">
        <v>52</v>
      </c>
      <c r="G35" s="11">
        <f aca="true" t="shared" si="3" ref="G35:G40">+E35*F35</f>
        <v>8528</v>
      </c>
      <c r="H35" s="13">
        <v>23368</v>
      </c>
      <c r="I35" s="13">
        <v>0.1</v>
      </c>
      <c r="J35" s="13">
        <v>5220</v>
      </c>
      <c r="K35" s="13">
        <v>522</v>
      </c>
      <c r="L35" s="22">
        <v>0.02</v>
      </c>
      <c r="M35" s="17"/>
    </row>
    <row r="36" spans="1:13" ht="12.75">
      <c r="A36" s="42"/>
      <c r="B36" s="31">
        <v>2</v>
      </c>
      <c r="C36" s="13"/>
      <c r="D36" s="13">
        <v>29.3</v>
      </c>
      <c r="E36" s="13">
        <v>208</v>
      </c>
      <c r="F36" s="13">
        <v>40</v>
      </c>
      <c r="G36" s="11">
        <f t="shared" si="3"/>
        <v>8320</v>
      </c>
      <c r="H36" s="13">
        <v>2600</v>
      </c>
      <c r="I36" s="13">
        <v>0.1</v>
      </c>
      <c r="J36" s="13">
        <v>830</v>
      </c>
      <c r="K36" s="13">
        <v>83</v>
      </c>
      <c r="L36" s="22">
        <v>0.03</v>
      </c>
      <c r="M36" s="17"/>
    </row>
    <row r="37" spans="1:13" ht="12.75">
      <c r="A37" s="42"/>
      <c r="B37" s="31">
        <v>3</v>
      </c>
      <c r="C37" s="13"/>
      <c r="D37" s="13">
        <v>29.25</v>
      </c>
      <c r="E37" s="13">
        <v>175</v>
      </c>
      <c r="F37" s="13">
        <v>33</v>
      </c>
      <c r="G37" s="11">
        <f t="shared" si="3"/>
        <v>5775</v>
      </c>
      <c r="H37" s="13">
        <v>12343</v>
      </c>
      <c r="I37" s="13">
        <v>0.4</v>
      </c>
      <c r="J37" s="13">
        <v>102</v>
      </c>
      <c r="K37" s="13">
        <v>41</v>
      </c>
      <c r="L37" s="22">
        <v>0.003</v>
      </c>
      <c r="M37" s="17"/>
    </row>
    <row r="38" spans="1:13" ht="12.75">
      <c r="A38" s="42"/>
      <c r="B38" s="31">
        <v>4</v>
      </c>
      <c r="C38" s="13"/>
      <c r="D38" s="13">
        <v>29.2</v>
      </c>
      <c r="E38" s="13">
        <v>106</v>
      </c>
      <c r="F38" s="13">
        <v>63</v>
      </c>
      <c r="G38" s="11">
        <f t="shared" si="3"/>
        <v>6678</v>
      </c>
      <c r="H38" s="13">
        <v>1080</v>
      </c>
      <c r="I38" s="13">
        <v>0.2</v>
      </c>
      <c r="J38" s="13">
        <v>395</v>
      </c>
      <c r="K38" s="13">
        <v>79</v>
      </c>
      <c r="L38" s="22">
        <v>0.07</v>
      </c>
      <c r="M38" s="17"/>
    </row>
    <row r="39" spans="1:13" ht="12.75">
      <c r="A39" s="42"/>
      <c r="B39" s="31">
        <v>5</v>
      </c>
      <c r="C39" s="13"/>
      <c r="D39" s="13">
        <v>26.08</v>
      </c>
      <c r="E39" s="13">
        <v>173</v>
      </c>
      <c r="F39" s="13">
        <v>58</v>
      </c>
      <c r="G39" s="11">
        <f t="shared" si="3"/>
        <v>10034</v>
      </c>
      <c r="H39" s="13">
        <v>12269</v>
      </c>
      <c r="I39" s="13">
        <v>0.2</v>
      </c>
      <c r="J39" s="13">
        <v>2280</v>
      </c>
      <c r="K39" s="13">
        <v>456</v>
      </c>
      <c r="L39" s="22">
        <v>0.04</v>
      </c>
      <c r="M39" s="17"/>
    </row>
    <row r="40" spans="1:13" ht="12.75">
      <c r="A40" s="42"/>
      <c r="B40" s="31">
        <v>6</v>
      </c>
      <c r="C40" s="13"/>
      <c r="D40" s="13">
        <v>25.94</v>
      </c>
      <c r="E40" s="13">
        <v>268</v>
      </c>
      <c r="F40" s="13">
        <v>46</v>
      </c>
      <c r="G40" s="11">
        <f t="shared" si="3"/>
        <v>12328</v>
      </c>
      <c r="H40" s="13">
        <v>16722</v>
      </c>
      <c r="I40" s="13">
        <v>0.2</v>
      </c>
      <c r="J40" s="13">
        <v>2880</v>
      </c>
      <c r="K40" s="13">
        <v>576</v>
      </c>
      <c r="L40" s="22">
        <v>0.03</v>
      </c>
      <c r="M40" s="17"/>
    </row>
    <row r="41" spans="1:13" ht="13.5" thickBot="1">
      <c r="A41" s="42"/>
      <c r="B41" s="35" t="s">
        <v>62</v>
      </c>
      <c r="C41" s="36"/>
      <c r="D41" s="36"/>
      <c r="E41" s="36"/>
      <c r="F41" s="36"/>
      <c r="G41" s="36"/>
      <c r="H41" s="36"/>
      <c r="I41" s="36"/>
      <c r="J41" s="36"/>
      <c r="K41" s="36"/>
      <c r="L41" s="27">
        <f>+(SUM(K35:K40)/((SUM(H35:H40)+(SUM(K35:K40)))))</f>
        <v>0.025050257346126977</v>
      </c>
      <c r="M41" s="17"/>
    </row>
    <row r="42" spans="1:13" ht="12.75" customHeight="1">
      <c r="A42" s="42"/>
      <c r="B42" s="1">
        <v>7</v>
      </c>
      <c r="C42" s="2">
        <v>333</v>
      </c>
      <c r="D42" s="2">
        <v>26.69</v>
      </c>
      <c r="E42" s="11">
        <f>55*3</f>
        <v>165</v>
      </c>
      <c r="F42" s="11">
        <f>15*3</f>
        <v>45</v>
      </c>
      <c r="G42" s="11">
        <f>+E42*F42</f>
        <v>7425</v>
      </c>
      <c r="H42" s="11">
        <f>2.5*G42</f>
        <v>18562.5</v>
      </c>
      <c r="I42" s="9" t="s">
        <v>7</v>
      </c>
      <c r="J42" s="11" t="s">
        <v>6</v>
      </c>
      <c r="K42" s="11" t="s">
        <v>6</v>
      </c>
      <c r="L42" s="23" t="s">
        <v>52</v>
      </c>
      <c r="M42" s="16" t="s">
        <v>15</v>
      </c>
    </row>
    <row r="43" spans="1:13" ht="12.75">
      <c r="A43" s="42"/>
      <c r="B43" s="1">
        <v>8</v>
      </c>
      <c r="C43" s="2">
        <v>335</v>
      </c>
      <c r="D43" s="2">
        <v>26.36</v>
      </c>
      <c r="E43" s="11">
        <f>50*3</f>
        <v>150</v>
      </c>
      <c r="F43" s="11">
        <f>13*3</f>
        <v>39</v>
      </c>
      <c r="G43" s="11">
        <f>+E43*F43</f>
        <v>5850</v>
      </c>
      <c r="H43" s="11">
        <f>4*G43</f>
        <v>23400</v>
      </c>
      <c r="I43" s="9">
        <v>0</v>
      </c>
      <c r="J43" s="11">
        <v>0</v>
      </c>
      <c r="K43" s="11">
        <f>+J43*I43</f>
        <v>0</v>
      </c>
      <c r="L43" s="23">
        <v>0</v>
      </c>
      <c r="M43" s="17" t="s">
        <v>29</v>
      </c>
    </row>
    <row r="44" spans="1:13" ht="12.75">
      <c r="A44" s="42"/>
      <c r="B44" s="1">
        <v>9</v>
      </c>
      <c r="C44" s="2">
        <v>337</v>
      </c>
      <c r="D44" s="2">
        <v>26.29</v>
      </c>
      <c r="E44" s="11">
        <f>49*3</f>
        <v>147</v>
      </c>
      <c r="F44" s="11">
        <f>14*3</f>
        <v>42</v>
      </c>
      <c r="G44" s="11">
        <f>+E44*F44</f>
        <v>6174</v>
      </c>
      <c r="H44" s="11">
        <f>2.7*G44</f>
        <v>16669.800000000003</v>
      </c>
      <c r="I44" s="9">
        <v>0</v>
      </c>
      <c r="J44" s="11">
        <v>0</v>
      </c>
      <c r="K44" s="11">
        <f>+J44*I44</f>
        <v>0</v>
      </c>
      <c r="L44" s="23">
        <v>0</v>
      </c>
      <c r="M44" s="17"/>
    </row>
    <row r="45" spans="1:13" ht="13.5" thickBot="1">
      <c r="A45" s="43"/>
      <c r="B45" s="35" t="s">
        <v>61</v>
      </c>
      <c r="C45" s="36"/>
      <c r="D45" s="36"/>
      <c r="E45" s="36"/>
      <c r="F45" s="36"/>
      <c r="G45" s="36"/>
      <c r="H45" s="36"/>
      <c r="I45" s="36"/>
      <c r="J45" s="36"/>
      <c r="K45" s="36"/>
      <c r="L45" s="27">
        <f>+(SUM(K42:K44)/((SUM(H42:H44)+(SUM(K42:K44)))))</f>
        <v>0</v>
      </c>
      <c r="M45" s="17" t="s">
        <v>30</v>
      </c>
    </row>
    <row r="46" spans="1:15" ht="12.75">
      <c r="A46" s="33" t="s">
        <v>67</v>
      </c>
      <c r="B46" s="1">
        <v>1</v>
      </c>
      <c r="C46" s="2"/>
      <c r="D46" s="2">
        <v>14.8</v>
      </c>
      <c r="E46" s="11">
        <f>385*3</f>
        <v>1155</v>
      </c>
      <c r="F46" s="11">
        <f>32*3</f>
        <v>96</v>
      </c>
      <c r="G46" s="11">
        <f aca="true" t="shared" si="4" ref="G46:G53">+E46*F46</f>
        <v>110880</v>
      </c>
      <c r="H46" s="11">
        <f>3.5*G46</f>
        <v>388080</v>
      </c>
      <c r="I46" s="9">
        <v>0.1</v>
      </c>
      <c r="J46" s="11">
        <f>36*80</f>
        <v>2880</v>
      </c>
      <c r="K46" s="11">
        <f aca="true" t="shared" si="5" ref="K46:K53">+J46*I46</f>
        <v>288</v>
      </c>
      <c r="L46" s="23">
        <v>0.0025974025974025974</v>
      </c>
      <c r="M46" s="16" t="s">
        <v>10</v>
      </c>
      <c r="O46" s="24"/>
    </row>
    <row r="47" spans="1:13" ht="12.75" customHeight="1">
      <c r="A47" s="33"/>
      <c r="B47" s="1">
        <v>2</v>
      </c>
      <c r="C47" s="2"/>
      <c r="D47" s="2">
        <v>14.35</v>
      </c>
      <c r="E47" s="11">
        <f>90*3</f>
        <v>270</v>
      </c>
      <c r="F47" s="11">
        <f>25*3</f>
        <v>75</v>
      </c>
      <c r="G47" s="11">
        <f t="shared" si="4"/>
        <v>20250</v>
      </c>
      <c r="H47" s="11">
        <f>3.5*G47</f>
        <v>70875</v>
      </c>
      <c r="I47" s="9">
        <v>0.3</v>
      </c>
      <c r="J47" s="11">
        <f>20*11</f>
        <v>220</v>
      </c>
      <c r="K47" s="11">
        <f t="shared" si="5"/>
        <v>66</v>
      </c>
      <c r="L47" s="23">
        <v>0.003259259259259259</v>
      </c>
      <c r="M47" s="17" t="s">
        <v>10</v>
      </c>
    </row>
    <row r="48" spans="1:13" ht="12.75">
      <c r="A48" s="33"/>
      <c r="B48" s="1">
        <v>3</v>
      </c>
      <c r="C48" s="2"/>
      <c r="D48" s="2">
        <v>14.25</v>
      </c>
      <c r="E48" s="11">
        <f>220*3</f>
        <v>660</v>
      </c>
      <c r="F48" s="11">
        <f>27*3</f>
        <v>81</v>
      </c>
      <c r="G48" s="11">
        <f t="shared" si="4"/>
        <v>53460</v>
      </c>
      <c r="H48" s="11">
        <f>5.5*G48</f>
        <v>294030</v>
      </c>
      <c r="I48" s="9">
        <v>0.1</v>
      </c>
      <c r="J48" s="11">
        <f>82*38</f>
        <v>3116</v>
      </c>
      <c r="K48" s="11">
        <f t="shared" si="5"/>
        <v>311.6</v>
      </c>
      <c r="L48" s="23">
        <v>0.005828656939768051</v>
      </c>
      <c r="M48" s="17" t="s">
        <v>10</v>
      </c>
    </row>
    <row r="49" spans="1:13" ht="12.75">
      <c r="A49" s="33"/>
      <c r="B49" s="1">
        <v>4</v>
      </c>
      <c r="C49" s="2"/>
      <c r="D49" s="2">
        <v>13.9</v>
      </c>
      <c r="E49" s="11">
        <f>275*3</f>
        <v>825</v>
      </c>
      <c r="F49" s="11">
        <f>50*3</f>
        <v>150</v>
      </c>
      <c r="G49" s="11">
        <f t="shared" si="4"/>
        <v>123750</v>
      </c>
      <c r="H49" s="11">
        <f>5*G49</f>
        <v>618750</v>
      </c>
      <c r="I49" s="9">
        <v>0.4</v>
      </c>
      <c r="J49" s="11">
        <f>110*80</f>
        <v>8800</v>
      </c>
      <c r="K49" s="11">
        <f t="shared" si="5"/>
        <v>3520</v>
      </c>
      <c r="L49" s="23">
        <v>0.028444444444444446</v>
      </c>
      <c r="M49" s="17" t="s">
        <v>17</v>
      </c>
    </row>
    <row r="50" spans="1:13" ht="12.75">
      <c r="A50" s="33"/>
      <c r="B50" s="1">
        <v>5</v>
      </c>
      <c r="C50" s="2"/>
      <c r="D50" s="2">
        <v>13.6</v>
      </c>
      <c r="E50" s="11">
        <f>273*3</f>
        <v>819</v>
      </c>
      <c r="F50" s="11">
        <f>25*3</f>
        <v>75</v>
      </c>
      <c r="G50" s="11">
        <f t="shared" si="4"/>
        <v>61425</v>
      </c>
      <c r="H50" s="11">
        <f>5*G50</f>
        <v>307125</v>
      </c>
      <c r="I50" s="9">
        <v>0.1</v>
      </c>
      <c r="J50" s="11">
        <f>12*15</f>
        <v>180</v>
      </c>
      <c r="K50" s="11">
        <f t="shared" si="5"/>
        <v>18</v>
      </c>
      <c r="L50" s="19">
        <v>0.00029304029304029304</v>
      </c>
      <c r="M50" s="17" t="s">
        <v>10</v>
      </c>
    </row>
    <row r="51" spans="1:13" ht="12.75">
      <c r="A51" s="33"/>
      <c r="B51" s="1">
        <v>6</v>
      </c>
      <c r="C51" s="2"/>
      <c r="D51" s="2">
        <v>4.6</v>
      </c>
      <c r="E51" s="11">
        <f>140*3</f>
        <v>420</v>
      </c>
      <c r="F51" s="11">
        <f>40*3</f>
        <v>120</v>
      </c>
      <c r="G51" s="11">
        <f t="shared" si="4"/>
        <v>50400</v>
      </c>
      <c r="H51" s="11">
        <f>14*G51</f>
        <v>705600</v>
      </c>
      <c r="I51" s="9">
        <v>0.5</v>
      </c>
      <c r="J51" s="11">
        <f>120*60</f>
        <v>7200</v>
      </c>
      <c r="K51" s="11">
        <f t="shared" si="5"/>
        <v>3600</v>
      </c>
      <c r="L51" s="23">
        <v>0.07142857142857142</v>
      </c>
      <c r="M51" s="17" t="s">
        <v>17</v>
      </c>
    </row>
    <row r="52" spans="1:13" ht="12.75">
      <c r="A52" s="33"/>
      <c r="B52" s="1">
        <v>7</v>
      </c>
      <c r="C52" s="2"/>
      <c r="D52" s="2">
        <v>4.2</v>
      </c>
      <c r="E52" s="11">
        <f>314*3</f>
        <v>942</v>
      </c>
      <c r="F52" s="11">
        <f>30*3</f>
        <v>90</v>
      </c>
      <c r="G52" s="11">
        <f t="shared" si="4"/>
        <v>84780</v>
      </c>
      <c r="H52" s="11">
        <f>9*G52</f>
        <v>763020</v>
      </c>
      <c r="I52" s="9">
        <v>0.2</v>
      </c>
      <c r="J52" s="11">
        <f>35*60</f>
        <v>2100</v>
      </c>
      <c r="K52" s="11">
        <f t="shared" si="5"/>
        <v>420</v>
      </c>
      <c r="L52" s="23">
        <v>0.004953998584571833</v>
      </c>
      <c r="M52" s="17" t="s">
        <v>10</v>
      </c>
    </row>
    <row r="53" spans="1:13" ht="12.75">
      <c r="A53" s="33"/>
      <c r="B53" s="1">
        <v>8</v>
      </c>
      <c r="C53" s="2"/>
      <c r="D53" s="2">
        <v>3.7</v>
      </c>
      <c r="E53" s="11">
        <f>274*3</f>
        <v>822</v>
      </c>
      <c r="F53" s="11">
        <f>33*3</f>
        <v>99</v>
      </c>
      <c r="G53" s="11">
        <f t="shared" si="4"/>
        <v>81378</v>
      </c>
      <c r="H53" s="11">
        <f>9*G53</f>
        <v>732402</v>
      </c>
      <c r="I53" s="9">
        <v>0.2</v>
      </c>
      <c r="J53" s="11">
        <f>165*37</f>
        <v>6105</v>
      </c>
      <c r="K53" s="11">
        <f t="shared" si="5"/>
        <v>1221</v>
      </c>
      <c r="L53" s="23">
        <v>0.015004055150040552</v>
      </c>
      <c r="M53" s="17" t="s">
        <v>17</v>
      </c>
    </row>
    <row r="54" spans="1:13" ht="13.5" thickBot="1">
      <c r="A54" s="34"/>
      <c r="B54" s="35" t="s">
        <v>61</v>
      </c>
      <c r="C54" s="36"/>
      <c r="D54" s="36"/>
      <c r="E54" s="36"/>
      <c r="F54" s="36"/>
      <c r="G54" s="36"/>
      <c r="H54" s="36"/>
      <c r="I54" s="36"/>
      <c r="J54" s="36"/>
      <c r="K54" s="36"/>
      <c r="L54" s="27">
        <f>+(SUM(K46:K53)/((SUM(H46:H53)+(SUM(K46:K53)))))</f>
        <v>0.00242833810871013</v>
      </c>
      <c r="M54" s="17"/>
    </row>
    <row r="55" spans="1:13" ht="13.5" thickBot="1">
      <c r="A55" s="37" t="s">
        <v>48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18"/>
    </row>
    <row r="56" spans="1:13" ht="12.75">
      <c r="A56" s="33" t="s">
        <v>68</v>
      </c>
      <c r="B56" s="1">
        <v>1</v>
      </c>
      <c r="C56" s="2">
        <v>790</v>
      </c>
      <c r="D56" s="2">
        <v>25.91</v>
      </c>
      <c r="E56" s="11">
        <f>143*3</f>
        <v>429</v>
      </c>
      <c r="F56" s="11">
        <f>21*3</f>
        <v>63</v>
      </c>
      <c r="G56" s="11">
        <f aca="true" t="shared" si="6" ref="G56:G64">+E56*F56</f>
        <v>27027</v>
      </c>
      <c r="H56" s="11">
        <f>3.75*G56</f>
        <v>101351.25</v>
      </c>
      <c r="I56" s="10">
        <v>0.8</v>
      </c>
      <c r="J56" s="11">
        <f>55*5</f>
        <v>275</v>
      </c>
      <c r="K56" s="11">
        <f aca="true" t="shared" si="7" ref="K56:K63">+J56*I56</f>
        <v>220</v>
      </c>
      <c r="L56" s="23">
        <v>0.002170668837335504</v>
      </c>
      <c r="M56" s="16" t="s">
        <v>37</v>
      </c>
    </row>
    <row r="57" spans="1:13" ht="12.75">
      <c r="A57" s="33"/>
      <c r="B57" s="1">
        <v>2</v>
      </c>
      <c r="C57" s="2">
        <v>792</v>
      </c>
      <c r="D57" s="2">
        <v>25.81</v>
      </c>
      <c r="E57" s="11">
        <f>76*3</f>
        <v>228</v>
      </c>
      <c r="F57" s="11">
        <f>15*3</f>
        <v>45</v>
      </c>
      <c r="G57" s="11">
        <f t="shared" si="6"/>
        <v>10260</v>
      </c>
      <c r="H57" s="11">
        <f>1.25*G57</f>
        <v>12825</v>
      </c>
      <c r="I57" s="10">
        <v>0</v>
      </c>
      <c r="J57" s="11">
        <v>0</v>
      </c>
      <c r="K57" s="11">
        <f t="shared" si="7"/>
        <v>0</v>
      </c>
      <c r="L57" s="23">
        <v>0</v>
      </c>
      <c r="M57" s="17" t="s">
        <v>22</v>
      </c>
    </row>
    <row r="58" spans="1:13" ht="12.75">
      <c r="A58" s="33"/>
      <c r="B58" s="1">
        <v>3</v>
      </c>
      <c r="C58" s="2">
        <v>797</v>
      </c>
      <c r="D58" s="2">
        <v>25.71</v>
      </c>
      <c r="E58" s="11">
        <f>71*3</f>
        <v>213</v>
      </c>
      <c r="F58" s="11">
        <f>15*3</f>
        <v>45</v>
      </c>
      <c r="G58" s="11">
        <f t="shared" si="6"/>
        <v>9585</v>
      </c>
      <c r="H58" s="11">
        <f>1.75*G58</f>
        <v>16773.75</v>
      </c>
      <c r="I58" s="10">
        <v>0.1</v>
      </c>
      <c r="J58" s="11">
        <f>20*10</f>
        <v>200</v>
      </c>
      <c r="K58" s="11">
        <f t="shared" si="7"/>
        <v>20</v>
      </c>
      <c r="L58" s="23">
        <v>0.0011923392205082347</v>
      </c>
      <c r="M58" s="17" t="s">
        <v>17</v>
      </c>
    </row>
    <row r="59" spans="1:13" ht="12.75">
      <c r="A59" s="33"/>
      <c r="B59" s="1">
        <v>4</v>
      </c>
      <c r="C59" s="2">
        <v>800</v>
      </c>
      <c r="D59" s="2">
        <v>25.63</v>
      </c>
      <c r="E59" s="11">
        <f>82*3</f>
        <v>246</v>
      </c>
      <c r="F59" s="11">
        <f>21*3</f>
        <v>63</v>
      </c>
      <c r="G59" s="11">
        <f t="shared" si="6"/>
        <v>15498</v>
      </c>
      <c r="H59" s="11">
        <f>2.75*G59</f>
        <v>42619.5</v>
      </c>
      <c r="I59" s="10">
        <v>0.5</v>
      </c>
      <c r="J59" s="11">
        <f>200*10</f>
        <v>2000</v>
      </c>
      <c r="K59" s="11">
        <f t="shared" si="7"/>
        <v>1000</v>
      </c>
      <c r="L59" s="23">
        <v>0.02346343809758444</v>
      </c>
      <c r="M59" s="17" t="s">
        <v>36</v>
      </c>
    </row>
    <row r="60" spans="1:13" ht="12.75">
      <c r="A60" s="33"/>
      <c r="B60" s="1">
        <v>5</v>
      </c>
      <c r="C60" s="10">
        <v>804</v>
      </c>
      <c r="D60" s="10">
        <v>25.46</v>
      </c>
      <c r="E60" s="11">
        <f>68*3</f>
        <v>204</v>
      </c>
      <c r="F60" s="11">
        <f>10*3</f>
        <v>30</v>
      </c>
      <c r="G60" s="11">
        <f t="shared" si="6"/>
        <v>6120</v>
      </c>
      <c r="H60" s="11">
        <f>1.25*G60</f>
        <v>7650</v>
      </c>
      <c r="I60" s="10">
        <v>0</v>
      </c>
      <c r="J60" s="11">
        <v>0</v>
      </c>
      <c r="K60" s="11">
        <f t="shared" si="7"/>
        <v>0</v>
      </c>
      <c r="L60" s="23">
        <v>0</v>
      </c>
      <c r="M60" s="17" t="s">
        <v>22</v>
      </c>
    </row>
    <row r="61" spans="1:13" ht="12.75">
      <c r="A61" s="33"/>
      <c r="B61" s="1">
        <v>6</v>
      </c>
      <c r="C61" s="2">
        <v>807</v>
      </c>
      <c r="D61" s="2">
        <v>25.37</v>
      </c>
      <c r="E61" s="11">
        <f>46*3</f>
        <v>138</v>
      </c>
      <c r="F61" s="11">
        <f>20*3</f>
        <v>60</v>
      </c>
      <c r="G61" s="11">
        <f t="shared" si="6"/>
        <v>8280</v>
      </c>
      <c r="H61" s="11">
        <f>4.25*G61</f>
        <v>35190</v>
      </c>
      <c r="I61" s="10">
        <v>0.1</v>
      </c>
      <c r="J61" s="11">
        <f>30*10</f>
        <v>300</v>
      </c>
      <c r="K61" s="11">
        <f t="shared" si="7"/>
        <v>30</v>
      </c>
      <c r="L61" s="23">
        <v>0.0008525149190110827</v>
      </c>
      <c r="M61" s="17" t="s">
        <v>22</v>
      </c>
    </row>
    <row r="62" spans="1:13" ht="12.75">
      <c r="A62" s="33"/>
      <c r="B62" s="1">
        <v>7</v>
      </c>
      <c r="C62" s="2">
        <v>809</v>
      </c>
      <c r="D62" s="2">
        <v>25.28</v>
      </c>
      <c r="E62" s="11">
        <f>38*3</f>
        <v>114</v>
      </c>
      <c r="F62" s="11">
        <f>12*3</f>
        <v>36</v>
      </c>
      <c r="G62" s="11">
        <f t="shared" si="6"/>
        <v>4104</v>
      </c>
      <c r="H62" s="11">
        <f>1.75*G62</f>
        <v>7182</v>
      </c>
      <c r="I62" s="9">
        <v>0</v>
      </c>
      <c r="J62" s="11">
        <v>0</v>
      </c>
      <c r="K62" s="11">
        <f t="shared" si="7"/>
        <v>0</v>
      </c>
      <c r="L62" s="23">
        <v>0</v>
      </c>
      <c r="M62" s="17" t="s">
        <v>22</v>
      </c>
    </row>
    <row r="63" spans="1:13" ht="12.75">
      <c r="A63" s="33"/>
      <c r="B63" s="1">
        <v>8</v>
      </c>
      <c r="C63" s="2">
        <v>814</v>
      </c>
      <c r="D63" s="2">
        <v>25.06</v>
      </c>
      <c r="E63" s="11">
        <f>119*3</f>
        <v>357</v>
      </c>
      <c r="F63" s="11">
        <f>15*3</f>
        <v>45</v>
      </c>
      <c r="G63" s="11">
        <f t="shared" si="6"/>
        <v>16065</v>
      </c>
      <c r="H63" s="11">
        <f>2.5*G63</f>
        <v>40162.5</v>
      </c>
      <c r="I63" s="9">
        <v>0.1</v>
      </c>
      <c r="J63" s="11">
        <f>2*5</f>
        <v>10</v>
      </c>
      <c r="K63" s="11">
        <f t="shared" si="7"/>
        <v>1</v>
      </c>
      <c r="L63" s="20">
        <v>2.4898848428260194E-05</v>
      </c>
      <c r="M63" s="17" t="s">
        <v>20</v>
      </c>
    </row>
    <row r="64" spans="1:13" ht="12.75">
      <c r="A64" s="33"/>
      <c r="B64" s="1">
        <v>9</v>
      </c>
      <c r="C64" s="2">
        <v>817</v>
      </c>
      <c r="D64" s="2">
        <v>25.01</v>
      </c>
      <c r="E64" s="11">
        <f>46*3</f>
        <v>138</v>
      </c>
      <c r="F64" s="11">
        <f>9*3</f>
        <v>27</v>
      </c>
      <c r="G64" s="11">
        <f t="shared" si="6"/>
        <v>3726</v>
      </c>
      <c r="H64" s="11">
        <f>2.1*G64</f>
        <v>7824.6</v>
      </c>
      <c r="I64" s="9" t="s">
        <v>7</v>
      </c>
      <c r="J64" s="11" t="s">
        <v>6</v>
      </c>
      <c r="K64" s="11" t="s">
        <v>6</v>
      </c>
      <c r="L64" s="23" t="s">
        <v>52</v>
      </c>
      <c r="M64" s="17" t="s">
        <v>35</v>
      </c>
    </row>
    <row r="65" spans="1:13" ht="12.75">
      <c r="A65" s="33"/>
      <c r="B65" s="35" t="s">
        <v>61</v>
      </c>
      <c r="C65" s="36"/>
      <c r="D65" s="36"/>
      <c r="E65" s="36"/>
      <c r="F65" s="36"/>
      <c r="G65" s="36"/>
      <c r="H65" s="36"/>
      <c r="I65" s="36"/>
      <c r="J65" s="36"/>
      <c r="K65" s="36"/>
      <c r="L65" s="27">
        <f>+(SUM(K56:K64)/((SUM(H56:H64)+(SUM(K56:K64)))))</f>
        <v>0.0046582439556444285</v>
      </c>
      <c r="M65" s="17"/>
    </row>
    <row r="66" spans="1:12" ht="23.25" customHeight="1" thickBot="1">
      <c r="A66" s="44" t="s">
        <v>63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3" s="12" customFormat="1" ht="43.5" customHeight="1" thickBot="1">
      <c r="A67" s="32" t="s">
        <v>0</v>
      </c>
      <c r="B67" s="32" t="s">
        <v>5</v>
      </c>
      <c r="C67" s="32" t="s">
        <v>1</v>
      </c>
      <c r="D67" s="32" t="s">
        <v>2</v>
      </c>
      <c r="E67" s="32" t="s">
        <v>56</v>
      </c>
      <c r="F67" s="32" t="s">
        <v>57</v>
      </c>
      <c r="G67" s="32" t="s">
        <v>53</v>
      </c>
      <c r="H67" s="32" t="s">
        <v>54</v>
      </c>
      <c r="I67" s="32" t="s">
        <v>58</v>
      </c>
      <c r="J67" s="32" t="s">
        <v>59</v>
      </c>
      <c r="K67" s="32" t="s">
        <v>55</v>
      </c>
      <c r="L67" s="32" t="s">
        <v>51</v>
      </c>
      <c r="M67" s="28" t="s">
        <v>49</v>
      </c>
    </row>
    <row r="68" spans="1:13" ht="13.5" thickBot="1">
      <c r="A68" s="37" t="s">
        <v>60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18"/>
    </row>
    <row r="69" spans="1:13" ht="12.75">
      <c r="A69" s="40" t="s">
        <v>69</v>
      </c>
      <c r="B69" s="1">
        <v>1</v>
      </c>
      <c r="C69" s="2">
        <v>10</v>
      </c>
      <c r="D69" s="2">
        <v>21.17</v>
      </c>
      <c r="E69" s="11">
        <f>81*3</f>
        <v>243</v>
      </c>
      <c r="F69" s="11">
        <f>18*3</f>
        <v>54</v>
      </c>
      <c r="G69" s="11">
        <f aca="true" t="shared" si="8" ref="G69:G85">+E69*F69</f>
        <v>13122</v>
      </c>
      <c r="H69" s="11">
        <f>4*G69</f>
        <v>52488</v>
      </c>
      <c r="I69" s="9">
        <v>1.5</v>
      </c>
      <c r="J69" s="11">
        <f>15*10</f>
        <v>150</v>
      </c>
      <c r="K69" s="11">
        <f>+J69*I69</f>
        <v>225</v>
      </c>
      <c r="L69" s="23">
        <v>0.0042866941015089165</v>
      </c>
      <c r="M69" s="16" t="s">
        <v>32</v>
      </c>
    </row>
    <row r="70" spans="1:13" ht="12.75">
      <c r="A70" s="41"/>
      <c r="B70" s="1">
        <v>2</v>
      </c>
      <c r="C70" s="2">
        <v>16</v>
      </c>
      <c r="D70" s="2">
        <v>21.05</v>
      </c>
      <c r="E70" s="11">
        <f>149*3</f>
        <v>447</v>
      </c>
      <c r="F70" s="11">
        <f>23*3</f>
        <v>69</v>
      </c>
      <c r="G70" s="11">
        <f t="shared" si="8"/>
        <v>30843</v>
      </c>
      <c r="H70" s="11">
        <f>4.5*G70</f>
        <v>138793.5</v>
      </c>
      <c r="I70" s="9">
        <v>1</v>
      </c>
      <c r="J70" s="11">
        <f>100*60</f>
        <v>6000</v>
      </c>
      <c r="K70" s="11">
        <f>+J70*I70</f>
        <v>6000</v>
      </c>
      <c r="L70" s="23">
        <v>0.04322969015119584</v>
      </c>
      <c r="M70" s="17" t="s">
        <v>34</v>
      </c>
    </row>
    <row r="71" spans="1:13" ht="12.75">
      <c r="A71" s="41"/>
      <c r="B71" s="1">
        <v>3</v>
      </c>
      <c r="C71" s="2">
        <v>27</v>
      </c>
      <c r="D71" s="2">
        <v>20.9</v>
      </c>
      <c r="E71" s="11">
        <f>20*3</f>
        <v>60</v>
      </c>
      <c r="F71" s="11">
        <f>15*3</f>
        <v>45</v>
      </c>
      <c r="G71" s="11">
        <f t="shared" si="8"/>
        <v>2700</v>
      </c>
      <c r="H71" s="11">
        <f>1*G71</f>
        <v>2700</v>
      </c>
      <c r="I71" s="9">
        <v>0</v>
      </c>
      <c r="J71" s="11">
        <v>0</v>
      </c>
      <c r="K71" s="11">
        <f>+J71*I71</f>
        <v>0</v>
      </c>
      <c r="L71" s="23">
        <v>0</v>
      </c>
      <c r="M71" s="17" t="s">
        <v>33</v>
      </c>
    </row>
    <row r="72" spans="1:13" ht="12.75">
      <c r="A72" s="41"/>
      <c r="B72" s="1">
        <v>4</v>
      </c>
      <c r="C72" s="2">
        <v>29</v>
      </c>
      <c r="D72" s="2">
        <v>20.78</v>
      </c>
      <c r="E72" s="11">
        <f>80*3</f>
        <v>240</v>
      </c>
      <c r="F72" s="11">
        <f>23*3</f>
        <v>69</v>
      </c>
      <c r="G72" s="11">
        <f t="shared" si="8"/>
        <v>16560</v>
      </c>
      <c r="H72" s="11">
        <f>3.25*G72</f>
        <v>53820</v>
      </c>
      <c r="I72" s="9">
        <v>0.1</v>
      </c>
      <c r="J72" s="11">
        <f>25*45</f>
        <v>1125</v>
      </c>
      <c r="K72" s="11">
        <f>+J72*I72</f>
        <v>112.5</v>
      </c>
      <c r="L72" s="23">
        <v>0.0020903010033444815</v>
      </c>
      <c r="M72" s="17" t="s">
        <v>24</v>
      </c>
    </row>
    <row r="73" spans="1:13" ht="13.5" customHeight="1">
      <c r="A73" s="41"/>
      <c r="B73" s="1">
        <v>5</v>
      </c>
      <c r="C73" s="2">
        <v>70</v>
      </c>
      <c r="D73" s="2">
        <v>20.74</v>
      </c>
      <c r="E73" s="11">
        <f>55*3</f>
        <v>165</v>
      </c>
      <c r="F73" s="11">
        <f>12*3</f>
        <v>36</v>
      </c>
      <c r="G73" s="11">
        <f t="shared" si="8"/>
        <v>5940</v>
      </c>
      <c r="H73" s="11">
        <f>3*G73</f>
        <v>17820</v>
      </c>
      <c r="I73" s="9">
        <v>0</v>
      </c>
      <c r="J73" s="11">
        <v>0</v>
      </c>
      <c r="K73" s="11">
        <f>+J73*I73</f>
        <v>0</v>
      </c>
      <c r="L73" s="23">
        <v>0</v>
      </c>
      <c r="M73" s="17" t="s">
        <v>12</v>
      </c>
    </row>
    <row r="74" spans="1:13" ht="13.5" customHeight="1">
      <c r="A74" s="41"/>
      <c r="B74" s="1">
        <v>6</v>
      </c>
      <c r="C74" s="2">
        <v>72</v>
      </c>
      <c r="D74" s="2">
        <v>20.64</v>
      </c>
      <c r="E74" s="11">
        <f>72*3</f>
        <v>216</v>
      </c>
      <c r="F74" s="11">
        <f>19*3</f>
        <v>57</v>
      </c>
      <c r="G74" s="11">
        <f t="shared" si="8"/>
        <v>12312</v>
      </c>
      <c r="H74" s="11">
        <f>2*G74</f>
        <v>24624</v>
      </c>
      <c r="I74" s="9" t="s">
        <v>7</v>
      </c>
      <c r="J74" s="11" t="s">
        <v>6</v>
      </c>
      <c r="K74" s="11" t="s">
        <v>6</v>
      </c>
      <c r="L74" s="23" t="s">
        <v>52</v>
      </c>
      <c r="M74" s="17" t="s">
        <v>27</v>
      </c>
    </row>
    <row r="75" spans="1:13" ht="13.5" customHeight="1">
      <c r="A75" s="41"/>
      <c r="B75" s="1">
        <v>7</v>
      </c>
      <c r="C75" s="2">
        <v>77</v>
      </c>
      <c r="D75" s="2">
        <v>20.45</v>
      </c>
      <c r="E75" s="11">
        <f>178*3</f>
        <v>534</v>
      </c>
      <c r="F75" s="11">
        <f>20*3</f>
        <v>60</v>
      </c>
      <c r="G75" s="11">
        <f t="shared" si="8"/>
        <v>32040</v>
      </c>
      <c r="H75" s="11">
        <f>0.5*G75</f>
        <v>16020</v>
      </c>
      <c r="I75" s="9">
        <v>0</v>
      </c>
      <c r="J75" s="11">
        <v>0</v>
      </c>
      <c r="K75" s="11">
        <f>+J75*I75</f>
        <v>0</v>
      </c>
      <c r="L75" s="23">
        <v>0</v>
      </c>
      <c r="M75" s="17" t="s">
        <v>32</v>
      </c>
    </row>
    <row r="76" spans="1:13" ht="13.5" customHeight="1">
      <c r="A76" s="41"/>
      <c r="B76" s="1">
        <v>8</v>
      </c>
      <c r="C76" s="2">
        <v>80</v>
      </c>
      <c r="D76" s="2">
        <v>20.25</v>
      </c>
      <c r="E76" s="11">
        <f>105*3</f>
        <v>315</v>
      </c>
      <c r="F76" s="11">
        <f>21*3</f>
        <v>63</v>
      </c>
      <c r="G76" s="11">
        <f t="shared" si="8"/>
        <v>19845</v>
      </c>
      <c r="H76" s="11">
        <f>4.5*G76</f>
        <v>89302.5</v>
      </c>
      <c r="I76" s="9">
        <v>0</v>
      </c>
      <c r="J76" s="11">
        <v>0</v>
      </c>
      <c r="K76" s="11">
        <f>+J76*I76</f>
        <v>0</v>
      </c>
      <c r="L76" s="23">
        <v>0</v>
      </c>
      <c r="M76" s="17" t="s">
        <v>22</v>
      </c>
    </row>
    <row r="77" spans="1:13" ht="13.5" customHeight="1">
      <c r="A77" s="41"/>
      <c r="B77" s="1">
        <v>9</v>
      </c>
      <c r="C77" s="2">
        <v>82</v>
      </c>
      <c r="D77" s="2">
        <v>3.55</v>
      </c>
      <c r="E77" s="11">
        <f>68*3</f>
        <v>204</v>
      </c>
      <c r="F77" s="11">
        <f>17*3</f>
        <v>51</v>
      </c>
      <c r="G77" s="11">
        <f t="shared" si="8"/>
        <v>10404</v>
      </c>
      <c r="H77" s="11">
        <f>2*G77</f>
        <v>20808</v>
      </c>
      <c r="I77" s="9">
        <v>2</v>
      </c>
      <c r="J77" s="11">
        <f>5*10</f>
        <v>50</v>
      </c>
      <c r="K77" s="11">
        <f>+J77*I77</f>
        <v>100</v>
      </c>
      <c r="L77" s="23">
        <v>0.004805843906189927</v>
      </c>
      <c r="M77" s="17" t="s">
        <v>31</v>
      </c>
    </row>
    <row r="78" spans="1:13" ht="12.75">
      <c r="A78" s="41"/>
      <c r="B78" s="1">
        <v>10</v>
      </c>
      <c r="C78" s="2">
        <v>658</v>
      </c>
      <c r="D78" s="2">
        <v>3.48</v>
      </c>
      <c r="E78" s="11">
        <f>178*3</f>
        <v>534</v>
      </c>
      <c r="F78" s="11">
        <f>26*3</f>
        <v>78</v>
      </c>
      <c r="G78" s="11">
        <f t="shared" si="8"/>
        <v>41652</v>
      </c>
      <c r="H78" s="11">
        <f>4.3*G78</f>
        <v>179103.6</v>
      </c>
      <c r="I78" s="9" t="s">
        <v>7</v>
      </c>
      <c r="J78" s="11" t="s">
        <v>6</v>
      </c>
      <c r="K78" s="11" t="s">
        <v>6</v>
      </c>
      <c r="L78" s="23" t="s">
        <v>52</v>
      </c>
      <c r="M78" s="17" t="s">
        <v>27</v>
      </c>
    </row>
    <row r="79" spans="1:13" ht="12.75">
      <c r="A79" s="41"/>
      <c r="B79" s="1">
        <v>11</v>
      </c>
      <c r="C79" s="2">
        <v>662</v>
      </c>
      <c r="D79" s="2">
        <v>3.32</v>
      </c>
      <c r="E79" s="11">
        <f>85*3</f>
        <v>255</v>
      </c>
      <c r="F79" s="11">
        <f>31*3</f>
        <v>93</v>
      </c>
      <c r="G79" s="11">
        <f t="shared" si="8"/>
        <v>23715</v>
      </c>
      <c r="H79" s="11">
        <f>9*G79</f>
        <v>213435</v>
      </c>
      <c r="I79" s="9">
        <v>0.75</v>
      </c>
      <c r="J79" s="11">
        <f>18*8</f>
        <v>144</v>
      </c>
      <c r="K79" s="11">
        <f>+J79*I79</f>
        <v>108</v>
      </c>
      <c r="L79" s="23">
        <v>0.0005060088551549652</v>
      </c>
      <c r="M79" s="17" t="s">
        <v>26</v>
      </c>
    </row>
    <row r="80" spans="1:13" ht="12.75">
      <c r="A80" s="41"/>
      <c r="B80" s="1">
        <v>12</v>
      </c>
      <c r="C80" s="2">
        <v>666</v>
      </c>
      <c r="D80" s="2">
        <v>3.18</v>
      </c>
      <c r="E80" s="11">
        <f>120*3</f>
        <v>360</v>
      </c>
      <c r="F80" s="11">
        <f>22*3</f>
        <v>66</v>
      </c>
      <c r="G80" s="11">
        <f t="shared" si="8"/>
        <v>23760</v>
      </c>
      <c r="H80" s="11">
        <f>4*G80</f>
        <v>95040</v>
      </c>
      <c r="I80" s="9" t="s">
        <v>7</v>
      </c>
      <c r="J80" s="11" t="s">
        <v>6</v>
      </c>
      <c r="K80" s="11" t="s">
        <v>6</v>
      </c>
      <c r="L80" s="23" t="s">
        <v>52</v>
      </c>
      <c r="M80" s="17" t="s">
        <v>24</v>
      </c>
    </row>
    <row r="81" spans="1:13" ht="12.75">
      <c r="A81" s="41"/>
      <c r="B81" s="1">
        <v>13</v>
      </c>
      <c r="C81" s="2">
        <v>671</v>
      </c>
      <c r="D81" s="2">
        <v>3</v>
      </c>
      <c r="E81" s="11">
        <f>186*2</f>
        <v>372</v>
      </c>
      <c r="F81" s="11">
        <f>25*3</f>
        <v>75</v>
      </c>
      <c r="G81" s="11">
        <f t="shared" si="8"/>
        <v>27900</v>
      </c>
      <c r="H81" s="11">
        <f>3.5*G81</f>
        <v>97650</v>
      </c>
      <c r="I81" s="9" t="s">
        <v>7</v>
      </c>
      <c r="J81" s="11" t="s">
        <v>6</v>
      </c>
      <c r="K81" s="11" t="s">
        <v>6</v>
      </c>
      <c r="L81" s="23" t="s">
        <v>52</v>
      </c>
      <c r="M81" s="17" t="s">
        <v>25</v>
      </c>
    </row>
    <row r="82" spans="1:13" ht="12.75">
      <c r="A82" s="41"/>
      <c r="B82" s="1">
        <v>14</v>
      </c>
      <c r="C82" s="2">
        <v>674</v>
      </c>
      <c r="D82" s="2">
        <v>1.6</v>
      </c>
      <c r="E82" s="11">
        <f>110*3</f>
        <v>330</v>
      </c>
      <c r="F82" s="11">
        <f>22*3</f>
        <v>66</v>
      </c>
      <c r="G82" s="11">
        <f t="shared" si="8"/>
        <v>21780</v>
      </c>
      <c r="H82" s="11">
        <f>4*G82</f>
        <v>87120</v>
      </c>
      <c r="I82" s="9">
        <v>0.8</v>
      </c>
      <c r="J82" s="11">
        <f>50*8</f>
        <v>400</v>
      </c>
      <c r="K82" s="11">
        <f>+J82*I82</f>
        <v>320</v>
      </c>
      <c r="L82" s="23">
        <v>0.004600550964187328</v>
      </c>
      <c r="M82" s="17" t="s">
        <v>24</v>
      </c>
    </row>
    <row r="83" spans="1:13" ht="12.75">
      <c r="A83" s="41"/>
      <c r="B83" s="1">
        <v>15</v>
      </c>
      <c r="C83" s="2">
        <v>679</v>
      </c>
      <c r="D83" s="2">
        <v>1.48</v>
      </c>
      <c r="E83" s="11">
        <f>130*3</f>
        <v>390</v>
      </c>
      <c r="F83" s="11">
        <f>20*3</f>
        <v>60</v>
      </c>
      <c r="G83" s="11">
        <f t="shared" si="8"/>
        <v>23400</v>
      </c>
      <c r="H83" s="11">
        <f>8.5*G83</f>
        <v>198900</v>
      </c>
      <c r="I83" s="9">
        <v>1.5</v>
      </c>
      <c r="J83" s="11">
        <f>180*90</f>
        <v>16200</v>
      </c>
      <c r="K83" s="11">
        <f>+J83*I83</f>
        <v>24300</v>
      </c>
      <c r="L83" s="23">
        <v>0.0814555052790347</v>
      </c>
      <c r="M83" s="17" t="s">
        <v>28</v>
      </c>
    </row>
    <row r="84" spans="1:13" ht="12.75">
      <c r="A84" s="41"/>
      <c r="B84" s="1">
        <v>16</v>
      </c>
      <c r="C84" s="2">
        <v>685</v>
      </c>
      <c r="D84" s="2">
        <v>1.14</v>
      </c>
      <c r="E84" s="11">
        <f>100*3</f>
        <v>300</v>
      </c>
      <c r="F84" s="11">
        <f>23.6*3</f>
        <v>70.80000000000001</v>
      </c>
      <c r="G84" s="11">
        <f t="shared" si="8"/>
        <v>21240.000000000004</v>
      </c>
      <c r="H84" s="11">
        <f>11*G84</f>
        <v>233640.00000000003</v>
      </c>
      <c r="I84" s="9">
        <v>0.1</v>
      </c>
      <c r="J84" s="11">
        <f>42*50</f>
        <v>2100</v>
      </c>
      <c r="K84" s="11">
        <f>+J84*I84</f>
        <v>210</v>
      </c>
      <c r="L84" s="23">
        <v>0.000898818695428865</v>
      </c>
      <c r="M84" s="17" t="s">
        <v>25</v>
      </c>
    </row>
    <row r="85" spans="1:13" ht="12.75">
      <c r="A85" s="41"/>
      <c r="B85" s="1">
        <v>17</v>
      </c>
      <c r="C85" s="2">
        <v>687</v>
      </c>
      <c r="D85" s="2">
        <v>0.91</v>
      </c>
      <c r="E85" s="11">
        <f>95*3</f>
        <v>285</v>
      </c>
      <c r="F85" s="11">
        <f>25*3</f>
        <v>75</v>
      </c>
      <c r="G85" s="11">
        <f t="shared" si="8"/>
        <v>21375</v>
      </c>
      <c r="H85" s="11">
        <f>4.75*G85</f>
        <v>101531.25</v>
      </c>
      <c r="I85" s="9" t="s">
        <v>7</v>
      </c>
      <c r="J85" s="11" t="s">
        <v>6</v>
      </c>
      <c r="K85" s="11" t="s">
        <v>6</v>
      </c>
      <c r="L85" s="23" t="s">
        <v>52</v>
      </c>
      <c r="M85" s="17" t="s">
        <v>25</v>
      </c>
    </row>
    <row r="86" spans="1:13" ht="12.75">
      <c r="A86" s="42"/>
      <c r="B86" s="35" t="s">
        <v>61</v>
      </c>
      <c r="C86" s="36"/>
      <c r="D86" s="36"/>
      <c r="E86" s="36"/>
      <c r="F86" s="36"/>
      <c r="G86" s="36"/>
      <c r="H86" s="36"/>
      <c r="I86" s="36"/>
      <c r="J86" s="36"/>
      <c r="K86" s="36"/>
      <c r="L86" s="27">
        <f>+(SUM(K69:K85)/((SUM(H69:H85)+(SUM(K69:K85)))))</f>
        <v>0.018967502973618783</v>
      </c>
      <c r="M86" s="17"/>
    </row>
    <row r="87" spans="1:13" ht="12.75">
      <c r="A87" s="43"/>
      <c r="B87" s="31">
        <v>18</v>
      </c>
      <c r="C87" s="13"/>
      <c r="D87" s="13">
        <v>0.7</v>
      </c>
      <c r="E87" s="13">
        <v>258</v>
      </c>
      <c r="F87" s="13">
        <v>76</v>
      </c>
      <c r="G87" s="11">
        <f>+E87*F87</f>
        <v>19608</v>
      </c>
      <c r="H87" s="13">
        <v>58282</v>
      </c>
      <c r="I87" s="13">
        <v>0.3</v>
      </c>
      <c r="J87" s="13">
        <v>5460</v>
      </c>
      <c r="K87" s="13">
        <v>1638</v>
      </c>
      <c r="L87" s="27">
        <v>0.03</v>
      </c>
      <c r="M87" s="17"/>
    </row>
    <row r="88" spans="1:13" ht="13.5" thickBot="1">
      <c r="A88" s="39" t="s">
        <v>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17"/>
    </row>
    <row r="89" spans="1:13" ht="12.75">
      <c r="A89" s="33" t="s">
        <v>70</v>
      </c>
      <c r="B89" s="1">
        <v>1</v>
      </c>
      <c r="C89" s="2">
        <v>121</v>
      </c>
      <c r="D89" s="2">
        <v>2.03</v>
      </c>
      <c r="E89" s="11">
        <v>30</v>
      </c>
      <c r="F89" s="11">
        <v>12</v>
      </c>
      <c r="G89" s="11">
        <f aca="true" t="shared" si="9" ref="G89:G98">+E89*F89</f>
        <v>360</v>
      </c>
      <c r="H89" s="11">
        <f>0.75*G89</f>
        <v>270</v>
      </c>
      <c r="I89" s="9">
        <v>0.3</v>
      </c>
      <c r="J89" s="9">
        <f>5*6</f>
        <v>30</v>
      </c>
      <c r="K89" s="9">
        <f aca="true" t="shared" si="10" ref="K89:K97">+J89*I89</f>
        <v>9</v>
      </c>
      <c r="L89" s="23">
        <v>0.025</v>
      </c>
      <c r="M89" s="16" t="s">
        <v>20</v>
      </c>
    </row>
    <row r="90" spans="1:13" ht="12.75">
      <c r="A90" s="33"/>
      <c r="B90" s="1">
        <v>2</v>
      </c>
      <c r="C90" s="2">
        <v>119</v>
      </c>
      <c r="D90" s="2">
        <v>1.96</v>
      </c>
      <c r="E90" s="11">
        <v>48</v>
      </c>
      <c r="F90" s="11">
        <v>21</v>
      </c>
      <c r="G90" s="11">
        <f t="shared" si="9"/>
        <v>1008</v>
      </c>
      <c r="H90" s="11">
        <f>2*G90</f>
        <v>2016</v>
      </c>
      <c r="I90" s="9">
        <v>0.25</v>
      </c>
      <c r="J90" s="9">
        <f>5*3</f>
        <v>15</v>
      </c>
      <c r="K90" s="9">
        <f t="shared" si="10"/>
        <v>3.75</v>
      </c>
      <c r="L90" s="23">
        <v>0.003720238095238095</v>
      </c>
      <c r="M90" s="17" t="s">
        <v>21</v>
      </c>
    </row>
    <row r="91" spans="1:13" ht="12.75">
      <c r="A91" s="33"/>
      <c r="B91" s="1">
        <v>3</v>
      </c>
      <c r="C91" s="2">
        <v>117</v>
      </c>
      <c r="D91" s="2">
        <v>1.94</v>
      </c>
      <c r="E91" s="11">
        <v>55</v>
      </c>
      <c r="F91" s="11">
        <v>7</v>
      </c>
      <c r="G91" s="11">
        <f t="shared" si="9"/>
        <v>385</v>
      </c>
      <c r="H91" s="11">
        <f>1*G91</f>
        <v>385</v>
      </c>
      <c r="I91" s="9">
        <v>0.15</v>
      </c>
      <c r="J91" s="9">
        <f>2*2.5</f>
        <v>5</v>
      </c>
      <c r="K91" s="9">
        <f t="shared" si="10"/>
        <v>0.75</v>
      </c>
      <c r="L91" s="23">
        <v>0.001948051948051948</v>
      </c>
      <c r="M91" s="17" t="s">
        <v>22</v>
      </c>
    </row>
    <row r="92" spans="1:13" ht="12.75">
      <c r="A92" s="33"/>
      <c r="B92" s="1">
        <v>4</v>
      </c>
      <c r="C92" s="2">
        <v>115</v>
      </c>
      <c r="D92" s="2">
        <v>1.93</v>
      </c>
      <c r="E92" s="11">
        <v>36</v>
      </c>
      <c r="F92" s="11">
        <v>5.5</v>
      </c>
      <c r="G92" s="11">
        <f t="shared" si="9"/>
        <v>198</v>
      </c>
      <c r="H92" s="11">
        <f>0.6*G92</f>
        <v>118.8</v>
      </c>
      <c r="I92" s="9">
        <v>0</v>
      </c>
      <c r="J92" s="9">
        <v>0</v>
      </c>
      <c r="K92" s="9">
        <f t="shared" si="10"/>
        <v>0</v>
      </c>
      <c r="L92" s="23">
        <v>0</v>
      </c>
      <c r="M92" s="17" t="s">
        <v>23</v>
      </c>
    </row>
    <row r="93" spans="1:13" ht="12.75">
      <c r="A93" s="33"/>
      <c r="B93" s="1">
        <v>5</v>
      </c>
      <c r="C93" s="2">
        <v>113</v>
      </c>
      <c r="D93" s="2">
        <v>1.9</v>
      </c>
      <c r="E93" s="11">
        <v>10</v>
      </c>
      <c r="F93" s="11">
        <v>13</v>
      </c>
      <c r="G93" s="11">
        <f t="shared" si="9"/>
        <v>130</v>
      </c>
      <c r="H93" s="11">
        <f>0.5*G93</f>
        <v>65</v>
      </c>
      <c r="I93" s="9">
        <v>0.1</v>
      </c>
      <c r="J93" s="9">
        <f>1*1</f>
        <v>1</v>
      </c>
      <c r="K93" s="9">
        <f t="shared" si="10"/>
        <v>0.1</v>
      </c>
      <c r="L93" s="23">
        <v>0.0007692307692307692</v>
      </c>
      <c r="M93" s="17" t="s">
        <v>22</v>
      </c>
    </row>
    <row r="94" spans="1:13" ht="12.75">
      <c r="A94" s="33"/>
      <c r="B94" s="1">
        <v>6</v>
      </c>
      <c r="C94" s="2">
        <v>111</v>
      </c>
      <c r="D94" s="2">
        <v>1.88</v>
      </c>
      <c r="E94" s="11">
        <v>36</v>
      </c>
      <c r="F94" s="11">
        <v>11</v>
      </c>
      <c r="G94" s="11">
        <f t="shared" si="9"/>
        <v>396</v>
      </c>
      <c r="H94" s="11">
        <f>0.8*G94</f>
        <v>316.8</v>
      </c>
      <c r="I94" s="9">
        <v>0.1</v>
      </c>
      <c r="J94" s="9">
        <f>1*1</f>
        <v>1</v>
      </c>
      <c r="K94" s="9">
        <f t="shared" si="10"/>
        <v>0.1</v>
      </c>
      <c r="L94" s="19">
        <v>0.0002525252525252525</v>
      </c>
      <c r="M94" s="17" t="s">
        <v>22</v>
      </c>
    </row>
    <row r="95" spans="1:13" ht="12.75">
      <c r="A95" s="33"/>
      <c r="B95" s="1">
        <v>7</v>
      </c>
      <c r="C95" s="2">
        <v>111</v>
      </c>
      <c r="D95" s="2">
        <v>1.86</v>
      </c>
      <c r="E95" s="11">
        <v>60</v>
      </c>
      <c r="F95" s="11">
        <v>12</v>
      </c>
      <c r="G95" s="11">
        <f t="shared" si="9"/>
        <v>720</v>
      </c>
      <c r="H95" s="11">
        <f>0.75*G95</f>
        <v>540</v>
      </c>
      <c r="I95" s="9">
        <v>0.1</v>
      </c>
      <c r="J95" s="9">
        <f>2*2</f>
        <v>4</v>
      </c>
      <c r="K95" s="9">
        <f t="shared" si="10"/>
        <v>0.4</v>
      </c>
      <c r="L95" s="23">
        <v>0.0005555555555555556</v>
      </c>
      <c r="M95" s="17" t="s">
        <v>12</v>
      </c>
    </row>
    <row r="96" spans="1:13" ht="12.75">
      <c r="A96" s="33"/>
      <c r="B96" s="1">
        <v>8</v>
      </c>
      <c r="C96" s="2">
        <v>109</v>
      </c>
      <c r="D96" s="2">
        <v>1.84</v>
      </c>
      <c r="E96" s="11">
        <v>19</v>
      </c>
      <c r="F96" s="11">
        <v>8</v>
      </c>
      <c r="G96" s="11">
        <f t="shared" si="9"/>
        <v>152</v>
      </c>
      <c r="H96" s="11">
        <f>0.5*G96</f>
        <v>76</v>
      </c>
      <c r="I96" s="9">
        <v>0.2</v>
      </c>
      <c r="J96" s="9">
        <f>3*1.5</f>
        <v>4.5</v>
      </c>
      <c r="K96" s="9">
        <f t="shared" si="10"/>
        <v>0.9</v>
      </c>
      <c r="L96" s="23">
        <v>0.0059210526315789476</v>
      </c>
      <c r="M96" s="17" t="s">
        <v>19</v>
      </c>
    </row>
    <row r="97" spans="1:13" ht="12.75">
      <c r="A97" s="33"/>
      <c r="B97" s="1">
        <v>9</v>
      </c>
      <c r="C97" s="2">
        <v>107</v>
      </c>
      <c r="D97" s="2">
        <v>1.81</v>
      </c>
      <c r="E97" s="11">
        <v>35</v>
      </c>
      <c r="F97" s="11">
        <v>11</v>
      </c>
      <c r="G97" s="11">
        <f t="shared" si="9"/>
        <v>385</v>
      </c>
      <c r="H97" s="11">
        <f>0.5*G97</f>
        <v>192.5</v>
      </c>
      <c r="I97" s="9">
        <v>0</v>
      </c>
      <c r="J97" s="9">
        <v>0</v>
      </c>
      <c r="K97" s="9">
        <f t="shared" si="10"/>
        <v>0</v>
      </c>
      <c r="L97" s="23">
        <v>0</v>
      </c>
      <c r="M97" s="17" t="s">
        <v>18</v>
      </c>
    </row>
    <row r="98" spans="1:13" ht="12.75">
      <c r="A98" s="33"/>
      <c r="B98" s="1">
        <v>10</v>
      </c>
      <c r="C98" s="2">
        <v>97</v>
      </c>
      <c r="D98" s="2">
        <v>1.79</v>
      </c>
      <c r="E98" s="11">
        <v>39</v>
      </c>
      <c r="F98" s="11">
        <v>6</v>
      </c>
      <c r="G98" s="11">
        <f t="shared" si="9"/>
        <v>234</v>
      </c>
      <c r="H98" s="11">
        <f>0.4*G98</f>
        <v>93.60000000000001</v>
      </c>
      <c r="I98" s="9" t="s">
        <v>7</v>
      </c>
      <c r="J98" s="9" t="s">
        <v>6</v>
      </c>
      <c r="K98" s="9" t="s">
        <v>6</v>
      </c>
      <c r="L98" s="23" t="s">
        <v>52</v>
      </c>
      <c r="M98" s="17" t="s">
        <v>17</v>
      </c>
    </row>
    <row r="99" spans="1:13" ht="12.75">
      <c r="A99" s="34"/>
      <c r="B99" s="35" t="s">
        <v>61</v>
      </c>
      <c r="C99" s="36"/>
      <c r="D99" s="36"/>
      <c r="E99" s="36"/>
      <c r="F99" s="36"/>
      <c r="G99" s="36"/>
      <c r="H99" s="36"/>
      <c r="I99" s="36"/>
      <c r="J99" s="36"/>
      <c r="K99" s="36"/>
      <c r="L99" s="27">
        <f>+(SUM(K89:K98)/((SUM(H89:H98)+(SUM(K89:K98)))))</f>
        <v>0.003668647736444346</v>
      </c>
      <c r="M99" s="17"/>
    </row>
    <row r="100" spans="1:13" ht="12.75">
      <c r="A100" s="33" t="s">
        <v>71</v>
      </c>
      <c r="B100" s="1">
        <v>1</v>
      </c>
      <c r="C100" s="2">
        <v>107</v>
      </c>
      <c r="D100" s="2">
        <v>2.59</v>
      </c>
      <c r="E100" s="11">
        <v>19</v>
      </c>
      <c r="F100" s="11">
        <v>13</v>
      </c>
      <c r="G100" s="11">
        <f aca="true" t="shared" si="11" ref="G100:G109">+E100*F100</f>
        <v>247</v>
      </c>
      <c r="H100" s="11">
        <f>0.8*G100</f>
        <v>197.60000000000002</v>
      </c>
      <c r="I100" s="9" t="s">
        <v>7</v>
      </c>
      <c r="J100" s="9" t="s">
        <v>6</v>
      </c>
      <c r="K100" s="9" t="s">
        <v>6</v>
      </c>
      <c r="L100" s="23" t="s">
        <v>52</v>
      </c>
      <c r="M100" s="17" t="s">
        <v>44</v>
      </c>
    </row>
    <row r="101" spans="1:13" ht="12.75">
      <c r="A101" s="33"/>
      <c r="B101" s="1">
        <v>2</v>
      </c>
      <c r="C101" s="2">
        <v>104</v>
      </c>
      <c r="D101" s="2">
        <v>2.59</v>
      </c>
      <c r="E101" s="11">
        <v>47</v>
      </c>
      <c r="F101" s="11">
        <v>12</v>
      </c>
      <c r="G101" s="11">
        <f t="shared" si="11"/>
        <v>564</v>
      </c>
      <c r="H101" s="11">
        <f>0.5*G101</f>
        <v>282</v>
      </c>
      <c r="I101" s="9">
        <v>0</v>
      </c>
      <c r="J101" s="9">
        <v>0</v>
      </c>
      <c r="K101" s="9">
        <v>0</v>
      </c>
      <c r="L101" s="23">
        <v>0</v>
      </c>
      <c r="M101" s="17" t="s">
        <v>43</v>
      </c>
    </row>
    <row r="102" spans="1:13" ht="12.75">
      <c r="A102" s="33"/>
      <c r="B102" s="1">
        <v>3</v>
      </c>
      <c r="C102" s="2">
        <v>101</v>
      </c>
      <c r="D102" s="2">
        <v>2.57</v>
      </c>
      <c r="E102" s="11">
        <v>87</v>
      </c>
      <c r="F102" s="11">
        <v>21</v>
      </c>
      <c r="G102" s="11">
        <f t="shared" si="11"/>
        <v>1827</v>
      </c>
      <c r="H102" s="11">
        <f>1.3*G102</f>
        <v>2375.1</v>
      </c>
      <c r="I102" s="9">
        <v>0.15</v>
      </c>
      <c r="J102" s="9">
        <f>15.5*5.5</f>
        <v>85.25</v>
      </c>
      <c r="K102" s="9">
        <f>+J102*I102</f>
        <v>12.7875</v>
      </c>
      <c r="L102" s="23">
        <v>0.006547619047619048</v>
      </c>
      <c r="M102" s="17" t="s">
        <v>42</v>
      </c>
    </row>
    <row r="103" spans="1:13" ht="12.75">
      <c r="A103" s="33"/>
      <c r="B103" s="1">
        <v>4</v>
      </c>
      <c r="C103" s="2">
        <v>97</v>
      </c>
      <c r="D103" s="2">
        <v>2.53</v>
      </c>
      <c r="E103" s="11">
        <v>39</v>
      </c>
      <c r="F103" s="11">
        <v>19</v>
      </c>
      <c r="G103" s="11">
        <f t="shared" si="11"/>
        <v>741</v>
      </c>
      <c r="H103" s="11">
        <f>1*G103</f>
        <v>741</v>
      </c>
      <c r="I103" s="9">
        <v>0</v>
      </c>
      <c r="J103" s="9">
        <v>0</v>
      </c>
      <c r="K103" s="9">
        <v>0</v>
      </c>
      <c r="L103" s="23">
        <v>0</v>
      </c>
      <c r="M103" s="17" t="s">
        <v>35</v>
      </c>
    </row>
    <row r="104" spans="1:13" ht="12.75">
      <c r="A104" s="33"/>
      <c r="B104" s="1">
        <v>5</v>
      </c>
      <c r="C104" s="2">
        <v>95</v>
      </c>
      <c r="D104" s="2">
        <v>2.45</v>
      </c>
      <c r="E104" s="11">
        <v>113</v>
      </c>
      <c r="F104" s="11">
        <v>16</v>
      </c>
      <c r="G104" s="11">
        <f t="shared" si="11"/>
        <v>1808</v>
      </c>
      <c r="H104" s="11">
        <f>1.5*G104</f>
        <v>2712</v>
      </c>
      <c r="I104" s="9">
        <v>0.1</v>
      </c>
      <c r="J104" s="9">
        <f>10*5</f>
        <v>50</v>
      </c>
      <c r="K104" s="9">
        <f>+J104*I104</f>
        <v>5</v>
      </c>
      <c r="L104" s="23">
        <v>0.0027654867256637168</v>
      </c>
      <c r="M104" s="17" t="s">
        <v>41</v>
      </c>
    </row>
    <row r="105" spans="1:13" ht="12.75">
      <c r="A105" s="33"/>
      <c r="B105" s="1">
        <v>6</v>
      </c>
      <c r="C105" s="2">
        <v>86</v>
      </c>
      <c r="D105" s="2">
        <v>2.36</v>
      </c>
      <c r="E105" s="11">
        <v>60</v>
      </c>
      <c r="F105" s="11">
        <v>20</v>
      </c>
      <c r="G105" s="11">
        <f t="shared" si="11"/>
        <v>1200</v>
      </c>
      <c r="H105" s="11">
        <f>1+G105</f>
        <v>1201</v>
      </c>
      <c r="I105" s="9">
        <v>0</v>
      </c>
      <c r="J105" s="9">
        <v>0</v>
      </c>
      <c r="K105" s="9">
        <v>0</v>
      </c>
      <c r="L105" s="23">
        <v>0</v>
      </c>
      <c r="M105" s="17" t="s">
        <v>17</v>
      </c>
    </row>
    <row r="106" spans="1:13" ht="12.75">
      <c r="A106" s="33"/>
      <c r="B106" s="1">
        <v>7</v>
      </c>
      <c r="C106" s="2">
        <v>76</v>
      </c>
      <c r="D106" s="2">
        <v>2.34</v>
      </c>
      <c r="E106" s="11">
        <v>90</v>
      </c>
      <c r="F106" s="11">
        <v>18</v>
      </c>
      <c r="G106" s="11">
        <f t="shared" si="11"/>
        <v>1620</v>
      </c>
      <c r="H106" s="11">
        <f>1*G106</f>
        <v>1620</v>
      </c>
      <c r="I106" s="9" t="s">
        <v>7</v>
      </c>
      <c r="J106" s="9" t="s">
        <v>6</v>
      </c>
      <c r="K106" s="9" t="s">
        <v>6</v>
      </c>
      <c r="L106" s="23" t="s">
        <v>52</v>
      </c>
      <c r="M106" s="17" t="s">
        <v>35</v>
      </c>
    </row>
    <row r="107" spans="1:13" ht="12.75">
      <c r="A107" s="33"/>
      <c r="B107" s="1">
        <v>8</v>
      </c>
      <c r="C107" s="2">
        <v>72</v>
      </c>
      <c r="D107" s="2">
        <v>2.29</v>
      </c>
      <c r="E107" s="11">
        <v>53</v>
      </c>
      <c r="F107" s="11">
        <v>13</v>
      </c>
      <c r="G107" s="11">
        <f t="shared" si="11"/>
        <v>689</v>
      </c>
      <c r="H107" s="11">
        <f>0.7*G107</f>
        <v>482.29999999999995</v>
      </c>
      <c r="I107" s="9">
        <v>0</v>
      </c>
      <c r="J107" s="9">
        <v>0</v>
      </c>
      <c r="K107" s="9">
        <v>0</v>
      </c>
      <c r="L107" s="23">
        <v>0</v>
      </c>
      <c r="M107" s="17" t="s">
        <v>22</v>
      </c>
    </row>
    <row r="108" spans="1:13" ht="12.75">
      <c r="A108" s="33"/>
      <c r="B108" s="1">
        <v>9</v>
      </c>
      <c r="C108" s="2">
        <v>70</v>
      </c>
      <c r="D108" s="2">
        <v>2.26</v>
      </c>
      <c r="E108" s="11">
        <v>95</v>
      </c>
      <c r="F108" s="11">
        <v>18</v>
      </c>
      <c r="G108" s="11">
        <f t="shared" si="11"/>
        <v>1710</v>
      </c>
      <c r="H108" s="11">
        <f>0.5*G108</f>
        <v>855</v>
      </c>
      <c r="I108" s="9">
        <v>0.4</v>
      </c>
      <c r="J108" s="9">
        <f>5*3</f>
        <v>15</v>
      </c>
      <c r="K108" s="9">
        <f>+J108*I108</f>
        <v>6</v>
      </c>
      <c r="L108" s="23">
        <v>0.0035087719298245615</v>
      </c>
      <c r="M108" s="17" t="s">
        <v>35</v>
      </c>
    </row>
    <row r="109" spans="1:13" ht="12.75">
      <c r="A109" s="33"/>
      <c r="B109" s="1">
        <v>10</v>
      </c>
      <c r="C109" s="2">
        <v>69.1</v>
      </c>
      <c r="D109" s="2">
        <v>2.23</v>
      </c>
      <c r="E109" s="11">
        <v>100</v>
      </c>
      <c r="F109" s="11">
        <v>18</v>
      </c>
      <c r="G109" s="11">
        <f t="shared" si="11"/>
        <v>1800</v>
      </c>
      <c r="H109" s="11">
        <f>0.5*G109</f>
        <v>900</v>
      </c>
      <c r="I109" s="9" t="s">
        <v>7</v>
      </c>
      <c r="J109" s="9" t="s">
        <v>6</v>
      </c>
      <c r="K109" s="9" t="s">
        <v>6</v>
      </c>
      <c r="L109" s="23" t="s">
        <v>52</v>
      </c>
      <c r="M109" s="17" t="s">
        <v>35</v>
      </c>
    </row>
    <row r="110" spans="1:13" ht="13.5" thickBot="1">
      <c r="A110" s="34"/>
      <c r="B110" s="35" t="s">
        <v>61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27">
        <f>+(SUM(K100:K109)/((SUM(H100:H109)+(SUM(K100:K109)))))</f>
        <v>0.0020884937493346563</v>
      </c>
      <c r="M110" s="17"/>
    </row>
    <row r="111" spans="1:13" ht="12" customHeight="1">
      <c r="A111" s="33" t="s">
        <v>72</v>
      </c>
      <c r="B111" s="3">
        <v>1</v>
      </c>
      <c r="C111" s="2">
        <v>146</v>
      </c>
      <c r="D111" s="2">
        <v>9.09</v>
      </c>
      <c r="E111" s="11">
        <f>21*3</f>
        <v>63</v>
      </c>
      <c r="F111" s="11">
        <v>17</v>
      </c>
      <c r="G111" s="11">
        <f aca="true" t="shared" si="12" ref="G111:G119">+E111*F111</f>
        <v>1071</v>
      </c>
      <c r="H111" s="11">
        <f>3.25*G111</f>
        <v>3480.75</v>
      </c>
      <c r="I111" s="9">
        <v>0</v>
      </c>
      <c r="J111" s="9">
        <v>0</v>
      </c>
      <c r="K111" s="9">
        <v>0</v>
      </c>
      <c r="L111" s="23">
        <v>0</v>
      </c>
      <c r="M111" s="16" t="s">
        <v>16</v>
      </c>
    </row>
    <row r="112" spans="1:13" ht="12.75">
      <c r="A112" s="34"/>
      <c r="B112" s="3">
        <v>2</v>
      </c>
      <c r="C112" s="2">
        <v>144</v>
      </c>
      <c r="D112" s="2">
        <v>9.08</v>
      </c>
      <c r="E112" s="11">
        <v>20</v>
      </c>
      <c r="F112" s="11">
        <v>20</v>
      </c>
      <c r="G112" s="11">
        <f t="shared" si="12"/>
        <v>400</v>
      </c>
      <c r="H112" s="11">
        <f>3*G112</f>
        <v>1200</v>
      </c>
      <c r="I112" s="9">
        <v>0</v>
      </c>
      <c r="J112" s="9">
        <v>0</v>
      </c>
      <c r="K112" s="9">
        <v>0</v>
      </c>
      <c r="L112" s="23">
        <v>0</v>
      </c>
      <c r="M112" s="17" t="s">
        <v>15</v>
      </c>
    </row>
    <row r="113" spans="1:13" ht="12.75">
      <c r="A113" s="34"/>
      <c r="B113" s="3">
        <v>3</v>
      </c>
      <c r="C113" s="2">
        <v>140</v>
      </c>
      <c r="D113" s="2">
        <v>9.06</v>
      </c>
      <c r="E113" s="11">
        <f>19*3</f>
        <v>57</v>
      </c>
      <c r="F113" s="11">
        <v>20</v>
      </c>
      <c r="G113" s="11">
        <f t="shared" si="12"/>
        <v>1140</v>
      </c>
      <c r="H113" s="11">
        <f>2.25*G113</f>
        <v>2565</v>
      </c>
      <c r="I113" s="9">
        <v>0</v>
      </c>
      <c r="J113" s="9">
        <v>0</v>
      </c>
      <c r="K113" s="9">
        <v>0</v>
      </c>
      <c r="L113" s="23">
        <v>0</v>
      </c>
      <c r="M113" s="17" t="s">
        <v>14</v>
      </c>
    </row>
    <row r="114" spans="1:13" ht="12.75">
      <c r="A114" s="34"/>
      <c r="B114" s="3">
        <v>4</v>
      </c>
      <c r="C114" s="2">
        <v>137</v>
      </c>
      <c r="D114" s="2">
        <v>9</v>
      </c>
      <c r="E114" s="11">
        <f>32*3</f>
        <v>96</v>
      </c>
      <c r="F114" s="11">
        <f>14*3</f>
        <v>42</v>
      </c>
      <c r="G114" s="11">
        <f t="shared" si="12"/>
        <v>4032</v>
      </c>
      <c r="H114" s="11">
        <f>1.5*G114</f>
        <v>6048</v>
      </c>
      <c r="I114" s="9">
        <v>0</v>
      </c>
      <c r="J114" s="9">
        <v>0</v>
      </c>
      <c r="K114" s="9">
        <v>0</v>
      </c>
      <c r="L114" s="23">
        <v>0</v>
      </c>
      <c r="M114" s="17" t="s">
        <v>13</v>
      </c>
    </row>
    <row r="115" spans="1:13" ht="12.75">
      <c r="A115" s="34"/>
      <c r="B115" s="3">
        <v>5</v>
      </c>
      <c r="C115" s="2">
        <v>134</v>
      </c>
      <c r="D115" s="2">
        <v>8.86</v>
      </c>
      <c r="E115" s="11">
        <f>50*3</f>
        <v>150</v>
      </c>
      <c r="F115" s="11">
        <f>15*3</f>
        <v>45</v>
      </c>
      <c r="G115" s="11">
        <f t="shared" si="12"/>
        <v>6750</v>
      </c>
      <c r="H115" s="11">
        <f>0.75*G115</f>
        <v>5062.5</v>
      </c>
      <c r="I115" s="9">
        <v>0</v>
      </c>
      <c r="J115" s="9">
        <v>0</v>
      </c>
      <c r="K115" s="9">
        <v>0</v>
      </c>
      <c r="L115" s="23">
        <v>0</v>
      </c>
      <c r="M115" s="17" t="s">
        <v>12</v>
      </c>
    </row>
    <row r="116" spans="1:13" ht="12.75">
      <c r="A116" s="34"/>
      <c r="B116" s="3">
        <v>6</v>
      </c>
      <c r="C116" s="2">
        <v>128</v>
      </c>
      <c r="D116" s="2">
        <v>8.8</v>
      </c>
      <c r="E116" s="11">
        <f>32*3</f>
        <v>96</v>
      </c>
      <c r="F116" s="11">
        <f>25*3</f>
        <v>75</v>
      </c>
      <c r="G116" s="11">
        <f t="shared" si="12"/>
        <v>7200</v>
      </c>
      <c r="H116" s="11">
        <f>2*G116</f>
        <v>14400</v>
      </c>
      <c r="I116" s="9">
        <v>0</v>
      </c>
      <c r="J116" s="9">
        <v>0</v>
      </c>
      <c r="K116" s="9">
        <v>0</v>
      </c>
      <c r="L116" s="23">
        <v>0</v>
      </c>
      <c r="M116" s="17" t="s">
        <v>11</v>
      </c>
    </row>
    <row r="117" spans="1:13" ht="12.75">
      <c r="A117" s="34"/>
      <c r="B117" s="3">
        <v>7</v>
      </c>
      <c r="C117" s="2">
        <v>126</v>
      </c>
      <c r="D117" s="2">
        <v>8.73</v>
      </c>
      <c r="E117" s="11">
        <f>29*3</f>
        <v>87</v>
      </c>
      <c r="F117" s="11">
        <v>20</v>
      </c>
      <c r="G117" s="11">
        <f t="shared" si="12"/>
        <v>1740</v>
      </c>
      <c r="H117" s="11">
        <f>2.2*G117</f>
        <v>3828.0000000000005</v>
      </c>
      <c r="I117" s="9">
        <v>0</v>
      </c>
      <c r="J117" s="9">
        <v>0</v>
      </c>
      <c r="K117" s="9">
        <v>0</v>
      </c>
      <c r="L117" s="23">
        <v>0</v>
      </c>
      <c r="M117" s="17" t="s">
        <v>9</v>
      </c>
    </row>
    <row r="118" spans="1:13" ht="12.75">
      <c r="A118" s="34"/>
      <c r="B118" s="3">
        <v>8</v>
      </c>
      <c r="C118" s="2">
        <v>125</v>
      </c>
      <c r="D118" s="2">
        <v>8.61</v>
      </c>
      <c r="E118" s="11">
        <f>14*3</f>
        <v>42</v>
      </c>
      <c r="F118" s="11">
        <f>17*3</f>
        <v>51</v>
      </c>
      <c r="G118" s="11">
        <f t="shared" si="12"/>
        <v>2142</v>
      </c>
      <c r="H118" s="11">
        <f>3*G118</f>
        <v>6426</v>
      </c>
      <c r="I118" s="9" t="s">
        <v>7</v>
      </c>
      <c r="J118" s="9" t="s">
        <v>6</v>
      </c>
      <c r="K118" s="9" t="s">
        <v>6</v>
      </c>
      <c r="L118" s="23" t="s">
        <v>52</v>
      </c>
      <c r="M118" s="17" t="s">
        <v>8</v>
      </c>
    </row>
    <row r="119" spans="1:13" ht="12.75">
      <c r="A119" s="34"/>
      <c r="B119" s="1">
        <v>9</v>
      </c>
      <c r="C119" s="2">
        <v>909</v>
      </c>
      <c r="D119" s="2">
        <v>8.6</v>
      </c>
      <c r="E119" s="11">
        <f>30*3</f>
        <v>90</v>
      </c>
      <c r="F119" s="11">
        <f>4*3</f>
        <v>12</v>
      </c>
      <c r="G119" s="11">
        <f t="shared" si="12"/>
        <v>1080</v>
      </c>
      <c r="H119" s="11">
        <f>2*G119</f>
        <v>2160</v>
      </c>
      <c r="I119" s="9" t="s">
        <v>7</v>
      </c>
      <c r="J119" s="9" t="s">
        <v>6</v>
      </c>
      <c r="K119" s="9" t="s">
        <v>6</v>
      </c>
      <c r="L119" s="23" t="s">
        <v>52</v>
      </c>
      <c r="M119" s="17" t="s">
        <v>10</v>
      </c>
    </row>
    <row r="120" spans="1:13" ht="13.5" thickBot="1">
      <c r="A120" s="34"/>
      <c r="B120" s="35" t="s">
        <v>61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27">
        <f>+(SUM(K111:K119)/((SUM(H111:H119)+(SUM(K111:K119)))))</f>
        <v>0</v>
      </c>
      <c r="M120" s="17"/>
    </row>
    <row r="121" spans="1:13" ht="13.5" thickBot="1">
      <c r="A121" s="37" t="s">
        <v>75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8"/>
    </row>
    <row r="122" spans="1:13" ht="12.75">
      <c r="A122" s="33" t="s">
        <v>73</v>
      </c>
      <c r="B122" s="1">
        <v>1</v>
      </c>
      <c r="C122" s="2"/>
      <c r="D122" s="2">
        <v>31.6</v>
      </c>
      <c r="E122" s="11">
        <f>339*3</f>
        <v>1017</v>
      </c>
      <c r="F122" s="11">
        <f>40*3</f>
        <v>120</v>
      </c>
      <c r="G122" s="11">
        <f>+E122*F122</f>
        <v>122040</v>
      </c>
      <c r="H122" s="11">
        <f>4.5*G122</f>
        <v>549180</v>
      </c>
      <c r="I122" s="9">
        <v>0</v>
      </c>
      <c r="J122" s="10">
        <v>0</v>
      </c>
      <c r="K122" s="10">
        <v>0</v>
      </c>
      <c r="L122" s="23">
        <v>0</v>
      </c>
      <c r="M122" s="17" t="s">
        <v>10</v>
      </c>
    </row>
    <row r="123" spans="1:13" ht="12.75">
      <c r="A123" s="33"/>
      <c r="B123" s="1">
        <v>2</v>
      </c>
      <c r="C123" s="2"/>
      <c r="D123" s="2">
        <v>31.5</v>
      </c>
      <c r="E123" s="11">
        <f>400*3</f>
        <v>1200</v>
      </c>
      <c r="F123" s="11">
        <f>30*3</f>
        <v>90</v>
      </c>
      <c r="G123" s="11">
        <f>+E123*F123</f>
        <v>108000</v>
      </c>
      <c r="H123" s="11">
        <f>4*G123</f>
        <v>432000</v>
      </c>
      <c r="I123" s="9">
        <v>5</v>
      </c>
      <c r="J123" s="10">
        <f>60*20</f>
        <v>1200</v>
      </c>
      <c r="K123" s="10">
        <f>+J123*I123</f>
        <v>6000</v>
      </c>
      <c r="L123" s="23">
        <v>0.013888888888888888</v>
      </c>
      <c r="M123" s="17" t="s">
        <v>10</v>
      </c>
    </row>
    <row r="124" spans="1:13" ht="12.75">
      <c r="A124" s="33"/>
      <c r="B124" s="1">
        <v>3</v>
      </c>
      <c r="C124" s="2"/>
      <c r="D124" s="2">
        <v>30.7</v>
      </c>
      <c r="E124" s="11">
        <f>235*3</f>
        <v>705</v>
      </c>
      <c r="F124" s="11">
        <f>35*3</f>
        <v>105</v>
      </c>
      <c r="G124" s="11">
        <f>+E124*F124</f>
        <v>74025</v>
      </c>
      <c r="H124" s="11">
        <f>10*G124</f>
        <v>740250</v>
      </c>
      <c r="I124" s="9">
        <v>3</v>
      </c>
      <c r="J124" s="10">
        <f>50*100</f>
        <v>5000</v>
      </c>
      <c r="K124" s="10">
        <f>+J124*I124</f>
        <v>15000</v>
      </c>
      <c r="L124" s="23">
        <v>0.020263424518743668</v>
      </c>
      <c r="M124" s="17" t="s">
        <v>10</v>
      </c>
    </row>
    <row r="125" spans="1:13" ht="12.75">
      <c r="A125" s="33"/>
      <c r="B125" s="1">
        <v>4</v>
      </c>
      <c r="C125" s="2"/>
      <c r="D125" s="2">
        <v>30.4</v>
      </c>
      <c r="E125" s="11">
        <f>280*3</f>
        <v>840</v>
      </c>
      <c r="F125" s="11">
        <f>30*3</f>
        <v>90</v>
      </c>
      <c r="G125" s="11">
        <f>+E125*F125</f>
        <v>75600</v>
      </c>
      <c r="H125" s="11">
        <f>2*G125</f>
        <v>151200</v>
      </c>
      <c r="I125" s="9">
        <v>0</v>
      </c>
      <c r="J125" s="10">
        <v>0</v>
      </c>
      <c r="K125" s="10">
        <v>0</v>
      </c>
      <c r="L125" s="23">
        <v>0</v>
      </c>
      <c r="M125" s="17" t="s">
        <v>10</v>
      </c>
    </row>
    <row r="126" spans="1:13" ht="13.5" thickBot="1">
      <c r="A126" s="33"/>
      <c r="B126" s="1">
        <v>5</v>
      </c>
      <c r="C126" s="2"/>
      <c r="D126" s="2">
        <v>29.6</v>
      </c>
      <c r="E126" s="11">
        <f>270*3</f>
        <v>810</v>
      </c>
      <c r="F126" s="11">
        <f>30*3</f>
        <v>90</v>
      </c>
      <c r="G126" s="11">
        <f>+E126*F126</f>
        <v>72900</v>
      </c>
      <c r="H126" s="11">
        <f>2.75*G126</f>
        <v>200475</v>
      </c>
      <c r="I126" s="9">
        <v>0</v>
      </c>
      <c r="J126" s="10">
        <v>0</v>
      </c>
      <c r="K126" s="10">
        <v>0</v>
      </c>
      <c r="L126" s="23">
        <v>0</v>
      </c>
      <c r="M126" s="25" t="s">
        <v>35</v>
      </c>
    </row>
    <row r="127" spans="1:12" ht="12.75">
      <c r="A127" s="34"/>
      <c r="B127" s="35" t="s">
        <v>61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27">
        <f>+(SUM(K122:K126)/((SUM(H122:H126)+(SUM(K122:K126)))))</f>
        <v>0.010028150450908623</v>
      </c>
    </row>
    <row r="128" spans="1:12" ht="12.75">
      <c r="A128" s="47" t="s">
        <v>74</v>
      </c>
      <c r="B128" s="13">
        <v>1</v>
      </c>
      <c r="C128" s="13">
        <v>2.75</v>
      </c>
      <c r="D128" s="13">
        <v>2.9</v>
      </c>
      <c r="E128" s="13">
        <v>146.2</v>
      </c>
      <c r="F128" s="10">
        <v>53</v>
      </c>
      <c r="G128" s="11">
        <f>+E128*F128</f>
        <v>7748.599999999999</v>
      </c>
      <c r="H128" s="29">
        <v>5086</v>
      </c>
      <c r="I128" s="10">
        <v>0.2</v>
      </c>
      <c r="J128" s="10">
        <v>1800</v>
      </c>
      <c r="K128" s="30">
        <v>360.145</v>
      </c>
      <c r="L128" s="14">
        <v>0.06612648391891382</v>
      </c>
    </row>
    <row r="129" spans="1:12" ht="12.75">
      <c r="A129" s="41"/>
      <c r="B129" s="13">
        <v>2</v>
      </c>
      <c r="C129" s="13">
        <v>2.85</v>
      </c>
      <c r="D129" s="13">
        <v>2.85</v>
      </c>
      <c r="E129" s="13">
        <v>176</v>
      </c>
      <c r="F129" s="10">
        <v>47</v>
      </c>
      <c r="G129" s="11">
        <f>+E129*F129</f>
        <v>8272</v>
      </c>
      <c r="H129" s="29">
        <v>5332</v>
      </c>
      <c r="I129" s="10">
        <v>0.1</v>
      </c>
      <c r="J129" s="10">
        <v>1840</v>
      </c>
      <c r="K129" s="30">
        <v>184.395</v>
      </c>
      <c r="L129" s="14">
        <v>0.03342666859727227</v>
      </c>
    </row>
    <row r="130" spans="1:12" ht="12.75">
      <c r="A130" s="41"/>
      <c r="B130" s="13">
        <v>3</v>
      </c>
      <c r="C130" s="13">
        <v>2.9</v>
      </c>
      <c r="D130" s="13">
        <v>2.75</v>
      </c>
      <c r="E130" s="13">
        <v>75</v>
      </c>
      <c r="F130" s="10">
        <v>35</v>
      </c>
      <c r="G130" s="11">
        <f>+E130*F130</f>
        <v>2625</v>
      </c>
      <c r="H130" s="29">
        <v>3455</v>
      </c>
      <c r="I130" s="10">
        <v>0.2</v>
      </c>
      <c r="J130" s="10">
        <v>610</v>
      </c>
      <c r="K130" s="30">
        <v>122.25</v>
      </c>
      <c r="L130" s="14">
        <v>0.034179073180960376</v>
      </c>
    </row>
    <row r="131" spans="1:12" ht="12.75">
      <c r="A131" s="48"/>
      <c r="B131" s="35" t="s">
        <v>62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27">
        <f>+(SUM(K128:K130)/((SUM(H128:H130)+(SUM(K128:K130)))))</f>
        <v>0.04585967197600515</v>
      </c>
    </row>
    <row r="132" spans="1:8" ht="24" customHeight="1">
      <c r="A132" s="6"/>
      <c r="G132" s="7"/>
      <c r="H132" s="7"/>
    </row>
    <row r="133" spans="7:8" ht="12.75">
      <c r="G133" s="7"/>
      <c r="H133" s="7"/>
    </row>
    <row r="134" spans="7:8" ht="12.75">
      <c r="G134" s="7"/>
      <c r="H134" s="7"/>
    </row>
    <row r="135" spans="7:8" ht="12.75">
      <c r="G135" s="7"/>
      <c r="H135" s="7"/>
    </row>
    <row r="136" spans="7:8" ht="12.75">
      <c r="G136" s="7"/>
      <c r="H136" s="7"/>
    </row>
    <row r="137" spans="7:8" ht="12.75">
      <c r="G137" s="7"/>
      <c r="H137" s="7"/>
    </row>
    <row r="138" spans="7:8" ht="12.75">
      <c r="G138" s="7"/>
      <c r="H138" s="7"/>
    </row>
    <row r="139" spans="7:8" ht="12.75">
      <c r="G139" s="7"/>
      <c r="H139" s="7"/>
    </row>
  </sheetData>
  <mergeCells count="32">
    <mergeCell ref="B131:K131"/>
    <mergeCell ref="A128:A131"/>
    <mergeCell ref="A16:A34"/>
    <mergeCell ref="B34:K34"/>
    <mergeCell ref="A35:A45"/>
    <mergeCell ref="A111:A120"/>
    <mergeCell ref="B120:K120"/>
    <mergeCell ref="B31:K31"/>
    <mergeCell ref="B54:K54"/>
    <mergeCell ref="A46:A54"/>
    <mergeCell ref="A1:L1"/>
    <mergeCell ref="A68:L68"/>
    <mergeCell ref="A66:L66"/>
    <mergeCell ref="A3:L3"/>
    <mergeCell ref="A15:L15"/>
    <mergeCell ref="A55:L55"/>
    <mergeCell ref="A4:A14"/>
    <mergeCell ref="B14:K14"/>
    <mergeCell ref="A88:L88"/>
    <mergeCell ref="B45:K45"/>
    <mergeCell ref="B41:K41"/>
    <mergeCell ref="A69:A87"/>
    <mergeCell ref="A122:A127"/>
    <mergeCell ref="B127:K127"/>
    <mergeCell ref="B65:K65"/>
    <mergeCell ref="A56:A65"/>
    <mergeCell ref="A100:A110"/>
    <mergeCell ref="B110:K110"/>
    <mergeCell ref="B86:K86"/>
    <mergeCell ref="A89:A99"/>
    <mergeCell ref="A121:L121"/>
    <mergeCell ref="B99:K99"/>
  </mergeCells>
  <printOptions horizontalCentered="1"/>
  <pageMargins left="0.5" right="0.5" top="0.75" bottom="0.75" header="0.5" footer="0.5"/>
  <pageSetup horizontalDpi="600" verticalDpi="600" orientation="portrait" scale="77" r:id="rId1"/>
  <headerFooter alignWithMargins="0">
    <oddHeader>&amp;LFINAL</oddHeader>
    <oddFooter>&amp;L&amp;8Copyright 2009 by Placer County Water Agency&amp;C&amp;P&amp;R&amp;"Arial,Italic"&amp;8June 2009</oddFooter>
  </headerFooter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2009-06-19T19:48:07Z</cp:lastPrinted>
  <dcterms:created xsi:type="dcterms:W3CDTF">2008-08-04T22:19:03Z</dcterms:created>
  <dcterms:modified xsi:type="dcterms:W3CDTF">2009-06-25T16:56:53Z</dcterms:modified>
  <cp:category/>
  <cp:version/>
  <cp:contentType/>
  <cp:contentStatus/>
</cp:coreProperties>
</file>